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0000000. KEHMET OHJELMA\zz. Kehmet-pohjat-ja-ohjedokumentit\"/>
    </mc:Choice>
  </mc:AlternateContent>
  <xr:revisionPtr revIDLastSave="0" documentId="13_ncr:1_{F6727796-A700-43A1-A66C-C91D1513BEEC}" xr6:coauthVersionLast="46" xr6:coauthVersionMax="46" xr10:uidLastSave="{00000000-0000-0000-0000-000000000000}"/>
  <bookViews>
    <workbookView xWindow="9130" yWindow="260" windowWidth="29000" windowHeight="20330" xr2:uid="{A3990154-B64B-4007-8392-58B7B6854681}"/>
  </bookViews>
  <sheets>
    <sheet name="Guide" sheetId="29" r:id="rId1"/>
    <sheet name="Summary" sheetId="8" r:id="rId2"/>
    <sheet name="Viability comparison" sheetId="28" r:id="rId3"/>
    <sheet name="Option 1" sheetId="15" r:id="rId4"/>
    <sheet name="Option 2" sheetId="18" r:id="rId5"/>
    <sheet name="Option 3" sheetId="1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8" i="15" l="1"/>
  <c r="P5" i="19"/>
  <c r="P137" i="19" s="1"/>
  <c r="O5" i="19"/>
  <c r="N5" i="19"/>
  <c r="M5" i="19"/>
  <c r="L5" i="19"/>
  <c r="L137" i="19" s="1"/>
  <c r="K5" i="19"/>
  <c r="J5" i="19"/>
  <c r="I5" i="19"/>
  <c r="I137" i="19" s="1"/>
  <c r="H5" i="19"/>
  <c r="H137" i="19" s="1"/>
  <c r="G5" i="19"/>
  <c r="F5" i="19"/>
  <c r="F137" i="19" s="1"/>
  <c r="P5" i="18"/>
  <c r="O5" i="18"/>
  <c r="N5" i="18"/>
  <c r="M5" i="18"/>
  <c r="L5" i="18"/>
  <c r="K5" i="18"/>
  <c r="J5" i="18"/>
  <c r="I5" i="18"/>
  <c r="H5" i="18"/>
  <c r="G5" i="18"/>
  <c r="F5" i="18"/>
  <c r="F137" i="18" s="1"/>
  <c r="P143" i="19"/>
  <c r="O143" i="19"/>
  <c r="N143" i="19"/>
  <c r="M143" i="19"/>
  <c r="L143" i="19"/>
  <c r="K143" i="19"/>
  <c r="J143" i="19"/>
  <c r="I143" i="19"/>
  <c r="H143" i="19"/>
  <c r="G143" i="19"/>
  <c r="F143" i="19"/>
  <c r="O137" i="19"/>
  <c r="N137" i="19"/>
  <c r="M137" i="19"/>
  <c r="K137" i="19"/>
  <c r="J137" i="19"/>
  <c r="G137" i="19"/>
  <c r="N125" i="19"/>
  <c r="F125" i="19"/>
  <c r="D125" i="19"/>
  <c r="P124" i="19"/>
  <c r="P125" i="19" s="1"/>
  <c r="O124" i="19"/>
  <c r="O125" i="19" s="1"/>
  <c r="N124" i="19"/>
  <c r="M124" i="19"/>
  <c r="M125" i="19" s="1"/>
  <c r="L124" i="19"/>
  <c r="L125" i="19" s="1"/>
  <c r="K124" i="19"/>
  <c r="J124" i="19"/>
  <c r="I124" i="19"/>
  <c r="H124" i="19"/>
  <c r="H125" i="19" s="1"/>
  <c r="G124" i="19"/>
  <c r="G125" i="19" s="1"/>
  <c r="F124" i="19"/>
  <c r="E123" i="19"/>
  <c r="E122" i="19"/>
  <c r="E121" i="19"/>
  <c r="B120" i="19" a="1"/>
  <c r="B120" i="19" s="1"/>
  <c r="E119" i="19"/>
  <c r="E118" i="19"/>
  <c r="E117" i="19"/>
  <c r="B116" i="19" a="1"/>
  <c r="B116" i="19" s="1"/>
  <c r="E115" i="19"/>
  <c r="E114" i="19"/>
  <c r="E113" i="19"/>
  <c r="B112" i="19" a="1"/>
  <c r="B112" i="19" s="1"/>
  <c r="E111" i="19"/>
  <c r="E110" i="19"/>
  <c r="B109" i="19" a="1"/>
  <c r="B109" i="19" s="1"/>
  <c r="D105" i="19"/>
  <c r="P104" i="19"/>
  <c r="P105" i="19" s="1"/>
  <c r="O104" i="19"/>
  <c r="O105" i="19" s="1"/>
  <c r="N104" i="19"/>
  <c r="N105" i="19" s="1"/>
  <c r="M104" i="19"/>
  <c r="M105" i="19" s="1"/>
  <c r="L104" i="19"/>
  <c r="L105" i="19" s="1"/>
  <c r="K104" i="19"/>
  <c r="K105" i="19" s="1"/>
  <c r="J104" i="19"/>
  <c r="J105" i="19" s="1"/>
  <c r="I104" i="19"/>
  <c r="I105" i="19" s="1"/>
  <c r="H104" i="19"/>
  <c r="H105" i="19" s="1"/>
  <c r="G104" i="19"/>
  <c r="G105" i="19" s="1"/>
  <c r="F104" i="19"/>
  <c r="F105" i="19" s="1"/>
  <c r="E103" i="19"/>
  <c r="E102" i="19"/>
  <c r="B101" i="19"/>
  <c r="B101" i="19" a="1"/>
  <c r="E100" i="19"/>
  <c r="E99" i="19"/>
  <c r="E98" i="19"/>
  <c r="B97" i="19"/>
  <c r="B97" i="19" a="1"/>
  <c r="E96" i="19"/>
  <c r="E95" i="19"/>
  <c r="E94" i="19"/>
  <c r="E93" i="19"/>
  <c r="E92" i="19"/>
  <c r="E91" i="19"/>
  <c r="E90" i="19"/>
  <c r="B89" i="19" a="1"/>
  <c r="B89" i="19" s="1"/>
  <c r="E88" i="19"/>
  <c r="E87" i="19"/>
  <c r="E86" i="19"/>
  <c r="B85" i="19" a="1"/>
  <c r="B85" i="19" s="1"/>
  <c r="E84" i="19"/>
  <c r="E83" i="19"/>
  <c r="E82" i="19"/>
  <c r="B81" i="19"/>
  <c r="B81" i="19" a="1"/>
  <c r="E80" i="19"/>
  <c r="E79" i="19"/>
  <c r="E78" i="19"/>
  <c r="E77" i="19"/>
  <c r="B76" i="19" a="1"/>
  <c r="B76" i="19" s="1"/>
  <c r="F68" i="19"/>
  <c r="P67" i="19"/>
  <c r="O67" i="19"/>
  <c r="N67" i="19"/>
  <c r="M67" i="19"/>
  <c r="L67" i="19"/>
  <c r="L68" i="19" s="1"/>
  <c r="K67" i="19"/>
  <c r="J67" i="19"/>
  <c r="J68" i="19" s="1"/>
  <c r="I67" i="19"/>
  <c r="I68" i="19" s="1"/>
  <c r="H67" i="19"/>
  <c r="G67" i="19"/>
  <c r="F67" i="19"/>
  <c r="E66" i="19"/>
  <c r="E65" i="19"/>
  <c r="E64" i="19"/>
  <c r="B63" i="19" a="1"/>
  <c r="B63" i="19" s="1"/>
  <c r="E62" i="19"/>
  <c r="E61" i="19"/>
  <c r="E60" i="19"/>
  <c r="E59" i="19"/>
  <c r="E58" i="19"/>
  <c r="E57" i="19"/>
  <c r="E56" i="19"/>
  <c r="B55" i="19" a="1"/>
  <c r="B55" i="19" s="1"/>
  <c r="E54" i="19"/>
  <c r="E53" i="19"/>
  <c r="E52" i="19"/>
  <c r="B51" i="19" a="1"/>
  <c r="B51" i="19" s="1"/>
  <c r="E47" i="19"/>
  <c r="C47" i="19"/>
  <c r="D45" i="19"/>
  <c r="P44" i="19"/>
  <c r="P73" i="19" s="1"/>
  <c r="O44" i="19"/>
  <c r="O73" i="19" s="1"/>
  <c r="N44" i="19"/>
  <c r="N73" i="19" s="1"/>
  <c r="M44" i="19"/>
  <c r="M73" i="19" s="1"/>
  <c r="L44" i="19"/>
  <c r="L73" i="19" s="1"/>
  <c r="K44" i="19"/>
  <c r="K73" i="19" s="1"/>
  <c r="J44" i="19"/>
  <c r="J45" i="19" s="1"/>
  <c r="I44" i="19"/>
  <c r="I45" i="19" s="1"/>
  <c r="H44" i="19"/>
  <c r="H73" i="19" s="1"/>
  <c r="G44" i="19"/>
  <c r="G73" i="19" s="1"/>
  <c r="F44" i="19"/>
  <c r="F73" i="19" s="1"/>
  <c r="E43" i="19"/>
  <c r="D43" i="19"/>
  <c r="E42" i="19"/>
  <c r="D42" i="19"/>
  <c r="E41" i="19"/>
  <c r="D41" i="19"/>
  <c r="C40" i="19"/>
  <c r="B40" i="19" a="1"/>
  <c r="B40" i="19" s="1"/>
  <c r="E39" i="19"/>
  <c r="D39" i="19"/>
  <c r="E38" i="19"/>
  <c r="D38" i="19"/>
  <c r="E37" i="19"/>
  <c r="D37" i="19"/>
  <c r="E36" i="19"/>
  <c r="D36" i="19"/>
  <c r="E35" i="19"/>
  <c r="D35" i="19"/>
  <c r="E34" i="19"/>
  <c r="D34" i="19"/>
  <c r="C33" i="19"/>
  <c r="B33" i="19"/>
  <c r="B33" i="19" a="1"/>
  <c r="E32" i="19"/>
  <c r="D32" i="19"/>
  <c r="E31" i="19"/>
  <c r="D31" i="19"/>
  <c r="E30" i="19"/>
  <c r="D30" i="19"/>
  <c r="C29" i="19"/>
  <c r="B29" i="19" a="1"/>
  <c r="B29" i="19" s="1"/>
  <c r="M23" i="19"/>
  <c r="P22" i="19"/>
  <c r="O22" i="19"/>
  <c r="O72" i="19" s="1"/>
  <c r="N22" i="19"/>
  <c r="N72" i="19" s="1"/>
  <c r="M22" i="19"/>
  <c r="L22" i="19"/>
  <c r="L72" i="19" s="1"/>
  <c r="K22" i="19"/>
  <c r="J22" i="19"/>
  <c r="I22" i="19"/>
  <c r="H22" i="19"/>
  <c r="G22" i="19"/>
  <c r="G72" i="19" s="1"/>
  <c r="F22" i="19"/>
  <c r="F72" i="19" s="1"/>
  <c r="E21" i="19"/>
  <c r="E20" i="19"/>
  <c r="E19" i="19"/>
  <c r="B18" i="19" a="1"/>
  <c r="B18" i="19" s="1"/>
  <c r="E17" i="19"/>
  <c r="E16" i="19"/>
  <c r="E15" i="19"/>
  <c r="E14" i="19"/>
  <c r="E13" i="19"/>
  <c r="E12" i="19"/>
  <c r="B11" i="19" a="1"/>
  <c r="B11" i="19" s="1"/>
  <c r="E10" i="19"/>
  <c r="E9" i="19"/>
  <c r="E8" i="19"/>
  <c r="B7" i="19" a="1"/>
  <c r="B7" i="19" s="1"/>
  <c r="P143" i="18"/>
  <c r="O143" i="18"/>
  <c r="N143" i="18"/>
  <c r="M143" i="18"/>
  <c r="L143" i="18"/>
  <c r="K143" i="18"/>
  <c r="J143" i="18"/>
  <c r="I143" i="18"/>
  <c r="H143" i="18"/>
  <c r="G143" i="18"/>
  <c r="F143" i="18"/>
  <c r="P137" i="18"/>
  <c r="O137" i="18"/>
  <c r="N137" i="18"/>
  <c r="M137" i="18"/>
  <c r="L137" i="18"/>
  <c r="K137" i="18"/>
  <c r="J137" i="18"/>
  <c r="I137" i="18"/>
  <c r="H137" i="18"/>
  <c r="G137" i="18"/>
  <c r="F125" i="18"/>
  <c r="D125" i="18"/>
  <c r="P124" i="18"/>
  <c r="P125" i="18" s="1"/>
  <c r="O124" i="18"/>
  <c r="O125" i="18" s="1"/>
  <c r="N124" i="18"/>
  <c r="N125" i="18" s="1"/>
  <c r="M124" i="18"/>
  <c r="M125" i="18" s="1"/>
  <c r="L124" i="18"/>
  <c r="L125" i="18" s="1"/>
  <c r="K124" i="18"/>
  <c r="K125" i="18" s="1"/>
  <c r="J124" i="18"/>
  <c r="J125" i="18" s="1"/>
  <c r="I124" i="18"/>
  <c r="H124" i="18"/>
  <c r="H125" i="18" s="1"/>
  <c r="G124" i="18"/>
  <c r="G125" i="18" s="1"/>
  <c r="F124" i="18"/>
  <c r="E123" i="18"/>
  <c r="E122" i="18"/>
  <c r="E121" i="18"/>
  <c r="B120" i="18" a="1"/>
  <c r="B120" i="18" s="1"/>
  <c r="E119" i="18"/>
  <c r="E118" i="18"/>
  <c r="E117" i="18"/>
  <c r="B116" i="18" a="1"/>
  <c r="B116" i="18" s="1"/>
  <c r="E115" i="18"/>
  <c r="E114" i="18"/>
  <c r="E113" i="18"/>
  <c r="B112" i="18" a="1"/>
  <c r="B112" i="18" s="1"/>
  <c r="E111" i="18"/>
  <c r="E110" i="18"/>
  <c r="B109" i="18" a="1"/>
  <c r="B109" i="18" s="1"/>
  <c r="A107" i="18" s="1"/>
  <c r="D105" i="18"/>
  <c r="P104" i="18"/>
  <c r="P128" i="18" s="1"/>
  <c r="O104" i="18"/>
  <c r="O105" i="18" s="1"/>
  <c r="N104" i="18"/>
  <c r="N128" i="18" s="1"/>
  <c r="M104" i="18"/>
  <c r="M105" i="18" s="1"/>
  <c r="L104" i="18"/>
  <c r="L105" i="18" s="1"/>
  <c r="K104" i="18"/>
  <c r="K128" i="18" s="1"/>
  <c r="J104" i="18"/>
  <c r="J128" i="18" s="1"/>
  <c r="I104" i="18"/>
  <c r="I105" i="18" s="1"/>
  <c r="H104" i="18"/>
  <c r="H128" i="18" s="1"/>
  <c r="G104" i="18"/>
  <c r="G105" i="18" s="1"/>
  <c r="F104" i="18"/>
  <c r="F128" i="18" s="1"/>
  <c r="E103" i="18"/>
  <c r="E102" i="18"/>
  <c r="B101" i="18" a="1"/>
  <c r="B101" i="18" s="1"/>
  <c r="E100" i="18"/>
  <c r="E99" i="18"/>
  <c r="E98" i="18"/>
  <c r="B97" i="18" a="1"/>
  <c r="B97" i="18" s="1"/>
  <c r="E96" i="18"/>
  <c r="E95" i="18"/>
  <c r="E94" i="18"/>
  <c r="E93" i="18"/>
  <c r="E92" i="18"/>
  <c r="E91" i="18"/>
  <c r="E90" i="18"/>
  <c r="B89" i="18" a="1"/>
  <c r="B89" i="18" s="1"/>
  <c r="E88" i="18"/>
  <c r="E87" i="18"/>
  <c r="E86" i="18"/>
  <c r="B85" i="18" a="1"/>
  <c r="B85" i="18" s="1"/>
  <c r="E84" i="18"/>
  <c r="E83" i="18"/>
  <c r="E82" i="18"/>
  <c r="B81" i="18" a="1"/>
  <c r="B81" i="18" s="1"/>
  <c r="E80" i="18"/>
  <c r="E79" i="18"/>
  <c r="E78" i="18"/>
  <c r="E77" i="18"/>
  <c r="B76" i="18" a="1"/>
  <c r="B76" i="18" s="1"/>
  <c r="J73" i="18"/>
  <c r="N68" i="18"/>
  <c r="P67" i="18"/>
  <c r="O67" i="18"/>
  <c r="N67" i="18"/>
  <c r="M67" i="18"/>
  <c r="L67" i="18"/>
  <c r="K67" i="18"/>
  <c r="J67" i="18"/>
  <c r="J68" i="18" s="1"/>
  <c r="I67" i="18"/>
  <c r="H67" i="18"/>
  <c r="G67" i="18"/>
  <c r="F67" i="18"/>
  <c r="E66" i="18"/>
  <c r="E65" i="18"/>
  <c r="E64" i="18"/>
  <c r="B63" i="18" a="1"/>
  <c r="B63" i="18" s="1"/>
  <c r="E62" i="18"/>
  <c r="E61" i="18"/>
  <c r="E60" i="18"/>
  <c r="E59" i="18"/>
  <c r="E58" i="18"/>
  <c r="E57" i="18"/>
  <c r="E56" i="18"/>
  <c r="B55" i="18" a="1"/>
  <c r="B55" i="18" s="1"/>
  <c r="E54" i="18"/>
  <c r="E53" i="18"/>
  <c r="E52" i="18"/>
  <c r="B51" i="18" a="1"/>
  <c r="B51" i="18" s="1"/>
  <c r="E47" i="18"/>
  <c r="C47" i="18"/>
  <c r="D45" i="18"/>
  <c r="P44" i="18"/>
  <c r="P73" i="18" s="1"/>
  <c r="O44" i="18"/>
  <c r="O73" i="18" s="1"/>
  <c r="N44" i="18"/>
  <c r="N73" i="18" s="1"/>
  <c r="M44" i="18"/>
  <c r="M73" i="18" s="1"/>
  <c r="L44" i="18"/>
  <c r="L73" i="18" s="1"/>
  <c r="K44" i="18"/>
  <c r="K73" i="18" s="1"/>
  <c r="J44" i="18"/>
  <c r="J45" i="18" s="1"/>
  <c r="I44" i="18"/>
  <c r="I45" i="18" s="1"/>
  <c r="H44" i="18"/>
  <c r="H73" i="18" s="1"/>
  <c r="G44" i="18"/>
  <c r="G73" i="18" s="1"/>
  <c r="F44" i="18"/>
  <c r="F73" i="18" s="1"/>
  <c r="E43" i="18"/>
  <c r="D43" i="18"/>
  <c r="E42" i="18"/>
  <c r="D42" i="18"/>
  <c r="E41" i="18"/>
  <c r="D41" i="18"/>
  <c r="C40" i="18"/>
  <c r="B40" i="18" a="1"/>
  <c r="B40" i="18" s="1"/>
  <c r="E39" i="18"/>
  <c r="D39" i="18"/>
  <c r="E38" i="18"/>
  <c r="D38" i="18"/>
  <c r="E37" i="18"/>
  <c r="D37" i="18"/>
  <c r="E36" i="18"/>
  <c r="D36" i="18"/>
  <c r="E35" i="18"/>
  <c r="D35" i="18"/>
  <c r="E34" i="18"/>
  <c r="D34" i="18"/>
  <c r="C33" i="18"/>
  <c r="B33" i="18" a="1"/>
  <c r="B33" i="18" s="1"/>
  <c r="E32" i="18"/>
  <c r="D32" i="18"/>
  <c r="E31" i="18"/>
  <c r="D31" i="18"/>
  <c r="E30" i="18"/>
  <c r="D30" i="18"/>
  <c r="C29" i="18"/>
  <c r="B29" i="18" a="1"/>
  <c r="B29" i="18" s="1"/>
  <c r="O23" i="18"/>
  <c r="G23" i="18"/>
  <c r="P22" i="18"/>
  <c r="P72" i="18" s="1"/>
  <c r="O22" i="18"/>
  <c r="O72" i="18" s="1"/>
  <c r="N22" i="18"/>
  <c r="N23" i="18" s="1"/>
  <c r="M22" i="18"/>
  <c r="M23" i="18" s="1"/>
  <c r="L22" i="18"/>
  <c r="L72" i="18" s="1"/>
  <c r="K22" i="18"/>
  <c r="K72" i="18" s="1"/>
  <c r="J22" i="18"/>
  <c r="I22" i="18"/>
  <c r="H22" i="18"/>
  <c r="H72" i="18" s="1"/>
  <c r="G22" i="18"/>
  <c r="G72" i="18" s="1"/>
  <c r="F22" i="18"/>
  <c r="F23" i="18" s="1"/>
  <c r="E21" i="18"/>
  <c r="E20" i="18"/>
  <c r="E19" i="18"/>
  <c r="B18" i="18" a="1"/>
  <c r="B18" i="18" s="1"/>
  <c r="E17" i="18"/>
  <c r="E16" i="18"/>
  <c r="E15" i="18"/>
  <c r="E14" i="18"/>
  <c r="E13" i="18"/>
  <c r="E12" i="18"/>
  <c r="B11" i="18" a="1"/>
  <c r="B11" i="18" s="1"/>
  <c r="E10" i="18"/>
  <c r="E9" i="18"/>
  <c r="E8" i="18"/>
  <c r="B7" i="18" a="1"/>
  <c r="B7" i="18" s="1"/>
  <c r="D125" i="15"/>
  <c r="D105" i="15"/>
  <c r="D45" i="15"/>
  <c r="F105" i="18" l="1"/>
  <c r="A49" i="18"/>
  <c r="I72" i="18"/>
  <c r="I145" i="18" s="1"/>
  <c r="I68" i="18"/>
  <c r="J72" i="18"/>
  <c r="J139" i="18" s="1"/>
  <c r="N23" i="19"/>
  <c r="O23" i="19"/>
  <c r="F128" i="19"/>
  <c r="F129" i="19" s="1"/>
  <c r="N128" i="19"/>
  <c r="I73" i="19"/>
  <c r="E124" i="19"/>
  <c r="L45" i="19"/>
  <c r="L23" i="19"/>
  <c r="A28" i="18"/>
  <c r="L23" i="18"/>
  <c r="H45" i="18"/>
  <c r="J105" i="18"/>
  <c r="E104" i="18"/>
  <c r="I128" i="18"/>
  <c r="I132" i="18" s="1"/>
  <c r="F72" i="18"/>
  <c r="F145" i="18" s="1"/>
  <c r="N72" i="18"/>
  <c r="N145" i="18" s="1"/>
  <c r="M72" i="18"/>
  <c r="L45" i="18"/>
  <c r="F68" i="18"/>
  <c r="N105" i="18"/>
  <c r="E44" i="18"/>
  <c r="E73" i="18" s="1"/>
  <c r="P45" i="18"/>
  <c r="E67" i="18"/>
  <c r="A6" i="18"/>
  <c r="K68" i="18"/>
  <c r="G128" i="18"/>
  <c r="O128" i="18"/>
  <c r="O139" i="18" s="1"/>
  <c r="J23" i="18"/>
  <c r="E22" i="18"/>
  <c r="L68" i="18"/>
  <c r="E124" i="18"/>
  <c r="H128" i="19"/>
  <c r="H141" i="19" s="1"/>
  <c r="P128" i="19"/>
  <c r="P132" i="19" s="1"/>
  <c r="J128" i="19"/>
  <c r="J129" i="19" s="1"/>
  <c r="A74" i="19"/>
  <c r="E104" i="19"/>
  <c r="E128" i="19" s="1"/>
  <c r="L128" i="19"/>
  <c r="I128" i="19"/>
  <c r="K128" i="19"/>
  <c r="H72" i="19"/>
  <c r="P72" i="19"/>
  <c r="I72" i="19"/>
  <c r="I145" i="19" s="1"/>
  <c r="K72" i="19"/>
  <c r="M72" i="19"/>
  <c r="E67" i="19"/>
  <c r="K68" i="19"/>
  <c r="M68" i="19"/>
  <c r="J72" i="19"/>
  <c r="N68" i="19"/>
  <c r="J73" i="19"/>
  <c r="J141" i="19" s="1"/>
  <c r="E44" i="19"/>
  <c r="E73" i="19" s="1"/>
  <c r="K45" i="19"/>
  <c r="E22" i="19"/>
  <c r="E72" i="19" s="1"/>
  <c r="F23" i="19"/>
  <c r="G23" i="19"/>
  <c r="F139" i="19"/>
  <c r="F138" i="19" s="1"/>
  <c r="N145" i="19"/>
  <c r="N129" i="19"/>
  <c r="N139" i="19"/>
  <c r="N132" i="19"/>
  <c r="N141" i="19"/>
  <c r="A107" i="19"/>
  <c r="E105" i="19"/>
  <c r="H132" i="19"/>
  <c r="H145" i="19"/>
  <c r="I132" i="19"/>
  <c r="K129" i="19"/>
  <c r="K132" i="19"/>
  <c r="K141" i="19"/>
  <c r="A6" i="19"/>
  <c r="A28" i="19"/>
  <c r="A49" i="19"/>
  <c r="I125" i="19"/>
  <c r="M128" i="19"/>
  <c r="H23" i="19"/>
  <c r="P23" i="19"/>
  <c r="M45" i="19"/>
  <c r="G68" i="19"/>
  <c r="O68" i="19"/>
  <c r="J125" i="19"/>
  <c r="L141" i="19"/>
  <c r="I23" i="19"/>
  <c r="F45" i="19"/>
  <c r="N45" i="19"/>
  <c r="H68" i="19"/>
  <c r="P68" i="19"/>
  <c r="K125" i="19"/>
  <c r="E125" i="19" s="1"/>
  <c r="G128" i="19"/>
  <c r="O128" i="19"/>
  <c r="L132" i="19"/>
  <c r="L139" i="19"/>
  <c r="J23" i="19"/>
  <c r="G45" i="19"/>
  <c r="O45" i="19"/>
  <c r="L129" i="19"/>
  <c r="L145" i="19"/>
  <c r="K23" i="19"/>
  <c r="H45" i="19"/>
  <c r="P45" i="19"/>
  <c r="O132" i="18"/>
  <c r="O141" i="18"/>
  <c r="F129" i="18"/>
  <c r="F132" i="18"/>
  <c r="F141" i="18"/>
  <c r="F140" i="18" s="1"/>
  <c r="N129" i="18"/>
  <c r="N139" i="18"/>
  <c r="N132" i="18"/>
  <c r="N141" i="18"/>
  <c r="A74" i="18"/>
  <c r="A1" i="18" s="1"/>
  <c r="H139" i="18"/>
  <c r="H132" i="18"/>
  <c r="H141" i="18"/>
  <c r="H145" i="18"/>
  <c r="H129" i="18"/>
  <c r="P139" i="18"/>
  <c r="P132" i="18"/>
  <c r="P141" i="18"/>
  <c r="P145" i="18"/>
  <c r="P129" i="18"/>
  <c r="I129" i="18"/>
  <c r="J145" i="18"/>
  <c r="J129" i="18"/>
  <c r="J132" i="18"/>
  <c r="J141" i="18"/>
  <c r="K145" i="18"/>
  <c r="K129" i="18"/>
  <c r="K139" i="18"/>
  <c r="K132" i="18"/>
  <c r="K141" i="18"/>
  <c r="G145" i="18"/>
  <c r="G129" i="18"/>
  <c r="G139" i="18"/>
  <c r="G132" i="18"/>
  <c r="G141" i="18"/>
  <c r="K45" i="18"/>
  <c r="M68" i="18"/>
  <c r="I73" i="18"/>
  <c r="L128" i="18"/>
  <c r="I125" i="18"/>
  <c r="E125" i="18" s="1"/>
  <c r="M128" i="18"/>
  <c r="H23" i="18"/>
  <c r="P23" i="18"/>
  <c r="M45" i="18"/>
  <c r="G68" i="18"/>
  <c r="O68" i="18"/>
  <c r="I23" i="18"/>
  <c r="F45" i="18"/>
  <c r="N45" i="18"/>
  <c r="H68" i="18"/>
  <c r="P68" i="18"/>
  <c r="H105" i="18"/>
  <c r="P105" i="18"/>
  <c r="G45" i="18"/>
  <c r="O45" i="18"/>
  <c r="K23" i="18"/>
  <c r="K105" i="18"/>
  <c r="O129" i="18" l="1"/>
  <c r="O145" i="18"/>
  <c r="E128" i="18"/>
  <c r="E141" i="18" s="1"/>
  <c r="I139" i="18"/>
  <c r="F145" i="19"/>
  <c r="P129" i="19"/>
  <c r="I141" i="19"/>
  <c r="F141" i="19"/>
  <c r="F140" i="19" s="1"/>
  <c r="H129" i="19"/>
  <c r="F132" i="19"/>
  <c r="H139" i="19"/>
  <c r="F139" i="18"/>
  <c r="F138" i="18" s="1"/>
  <c r="G138" i="18" s="1"/>
  <c r="H138" i="18" s="1"/>
  <c r="E23" i="18"/>
  <c r="E72" i="18"/>
  <c r="E68" i="18"/>
  <c r="I141" i="18"/>
  <c r="E105" i="18"/>
  <c r="P141" i="19"/>
  <c r="J145" i="19"/>
  <c r="J132" i="19"/>
  <c r="P145" i="19"/>
  <c r="I129" i="19"/>
  <c r="I139" i="19"/>
  <c r="K145" i="19"/>
  <c r="P139" i="19"/>
  <c r="K139" i="19"/>
  <c r="J139" i="19"/>
  <c r="E23" i="19"/>
  <c r="E139" i="19"/>
  <c r="E141" i="19"/>
  <c r="A1" i="19"/>
  <c r="E45" i="19"/>
  <c r="O145" i="19"/>
  <c r="O129" i="19"/>
  <c r="O139" i="19"/>
  <c r="O132" i="19"/>
  <c r="O141" i="19"/>
  <c r="K133" i="19"/>
  <c r="N133" i="19"/>
  <c r="L133" i="19"/>
  <c r="G145" i="19"/>
  <c r="G129" i="19"/>
  <c r="G139" i="19"/>
  <c r="G138" i="19" s="1"/>
  <c r="H138" i="19" s="1"/>
  <c r="G132" i="19"/>
  <c r="G141" i="19"/>
  <c r="M145" i="19"/>
  <c r="M129" i="19"/>
  <c r="M139" i="19"/>
  <c r="M132" i="19"/>
  <c r="M141" i="19"/>
  <c r="I133" i="19"/>
  <c r="H133" i="19"/>
  <c r="F133" i="19"/>
  <c r="P133" i="19"/>
  <c r="F144" i="19"/>
  <c r="E68" i="19"/>
  <c r="M145" i="18"/>
  <c r="M129" i="18"/>
  <c r="M139" i="18"/>
  <c r="M132" i="18"/>
  <c r="M141" i="18"/>
  <c r="I133" i="18"/>
  <c r="G140" i="18"/>
  <c r="H140" i="18" s="1"/>
  <c r="I140" i="18" s="1"/>
  <c r="J140" i="18" s="1"/>
  <c r="K140" i="18" s="1"/>
  <c r="E45" i="18"/>
  <c r="K133" i="18"/>
  <c r="F133" i="18"/>
  <c r="O133" i="18"/>
  <c r="G133" i="18"/>
  <c r="J133" i="18"/>
  <c r="N133" i="18"/>
  <c r="L145" i="18"/>
  <c r="L129" i="18"/>
  <c r="E129" i="18" s="1"/>
  <c r="L139" i="18"/>
  <c r="L132" i="18"/>
  <c r="L141" i="18"/>
  <c r="H133" i="18"/>
  <c r="P133" i="18"/>
  <c r="F144" i="18"/>
  <c r="G144" i="18" s="1"/>
  <c r="H144" i="18" s="1"/>
  <c r="I144" i="18" s="1"/>
  <c r="J144" i="18" s="1"/>
  <c r="K144" i="18" s="1"/>
  <c r="G140" i="19" l="1"/>
  <c r="H140" i="19" s="1"/>
  <c r="I140" i="19" s="1"/>
  <c r="J140" i="19" s="1"/>
  <c r="K140" i="19" s="1"/>
  <c r="L140" i="19" s="1"/>
  <c r="M140" i="19" s="1"/>
  <c r="N140" i="19" s="1"/>
  <c r="O140" i="19" s="1"/>
  <c r="P140" i="19" s="1"/>
  <c r="I138" i="18"/>
  <c r="J138" i="18" s="1"/>
  <c r="K138" i="18" s="1"/>
  <c r="L138" i="18" s="1"/>
  <c r="M138" i="18" s="1"/>
  <c r="N138" i="18" s="1"/>
  <c r="O138" i="18" s="1"/>
  <c r="P138" i="18" s="1"/>
  <c r="E139" i="18"/>
  <c r="E145" i="18"/>
  <c r="L144" i="18"/>
  <c r="M144" i="18" s="1"/>
  <c r="N144" i="18" s="1"/>
  <c r="O144" i="18" s="1"/>
  <c r="P144" i="18" s="1"/>
  <c r="J133" i="19"/>
  <c r="I138" i="19"/>
  <c r="J138" i="19" s="1"/>
  <c r="K138" i="19" s="1"/>
  <c r="L138" i="19" s="1"/>
  <c r="M138" i="19" s="1"/>
  <c r="N138" i="19" s="1"/>
  <c r="O138" i="19" s="1"/>
  <c r="P138" i="19" s="1"/>
  <c r="E129" i="19"/>
  <c r="E145" i="19"/>
  <c r="G144" i="19"/>
  <c r="H144" i="19" s="1"/>
  <c r="I144" i="19" s="1"/>
  <c r="J144" i="19" s="1"/>
  <c r="K144" i="19" s="1"/>
  <c r="L144" i="19" s="1"/>
  <c r="M144" i="19" s="1"/>
  <c r="N144" i="19" s="1"/>
  <c r="O144" i="19" s="1"/>
  <c r="P144" i="19" s="1"/>
  <c r="M133" i="19"/>
  <c r="O133" i="19"/>
  <c r="G133" i="19"/>
  <c r="M133" i="18"/>
  <c r="L133" i="18"/>
  <c r="L140" i="18"/>
  <c r="M140" i="18" s="1"/>
  <c r="N140" i="18" s="1"/>
  <c r="O140" i="18" s="1"/>
  <c r="P140" i="18" s="1"/>
  <c r="C31" i="8" l="1"/>
  <c r="C5" i="8"/>
  <c r="E9" i="28"/>
  <c r="E8" i="28"/>
  <c r="E13" i="28"/>
  <c r="E12" i="28"/>
  <c r="M10" i="8"/>
  <c r="L10" i="8"/>
  <c r="N6" i="8"/>
  <c r="N32" i="8" s="1"/>
  <c r="N54" i="8" s="1"/>
  <c r="M6" i="8"/>
  <c r="M32" i="8" s="1"/>
  <c r="M54" i="8" s="1"/>
  <c r="L6" i="8"/>
  <c r="L32" i="8" s="1"/>
  <c r="L54" i="8" s="1"/>
  <c r="K6" i="8"/>
  <c r="K10" i="8" s="1"/>
  <c r="J6" i="8"/>
  <c r="J10" i="8" s="1"/>
  <c r="I6" i="8"/>
  <c r="I32" i="8" s="1"/>
  <c r="I54" i="8" s="1"/>
  <c r="H6" i="8"/>
  <c r="H32" i="8" s="1"/>
  <c r="H54" i="8" s="1"/>
  <c r="G6" i="8"/>
  <c r="G32" i="8" s="1"/>
  <c r="G54" i="8" s="1"/>
  <c r="F6" i="8"/>
  <c r="F32" i="8" s="1"/>
  <c r="F54" i="8" s="1"/>
  <c r="E6" i="8"/>
  <c r="E10" i="8" s="1"/>
  <c r="D6" i="8"/>
  <c r="D32" i="8" s="1"/>
  <c r="D54" i="8" s="1"/>
  <c r="L52" i="8"/>
  <c r="F52" i="8"/>
  <c r="D52" i="8"/>
  <c r="M51" i="8"/>
  <c r="K51" i="8"/>
  <c r="E51" i="8"/>
  <c r="N52" i="8"/>
  <c r="K52" i="8"/>
  <c r="M52" i="8"/>
  <c r="J52" i="8"/>
  <c r="E52" i="8"/>
  <c r="N48" i="8"/>
  <c r="M48" i="8"/>
  <c r="L48" i="8"/>
  <c r="K48" i="8"/>
  <c r="J48" i="8"/>
  <c r="I48" i="8"/>
  <c r="H48" i="8"/>
  <c r="G48" i="8"/>
  <c r="F48" i="8"/>
  <c r="E48" i="8"/>
  <c r="N44" i="8"/>
  <c r="M44" i="8"/>
  <c r="I44" i="8"/>
  <c r="H44" i="8"/>
  <c r="G44" i="8"/>
  <c r="F44" i="8"/>
  <c r="E44" i="8"/>
  <c r="M40" i="8"/>
  <c r="N40" i="8"/>
  <c r="F40" i="8"/>
  <c r="J36" i="8"/>
  <c r="I36" i="8"/>
  <c r="N51" i="8"/>
  <c r="L51" i="8"/>
  <c r="F51" i="8"/>
  <c r="D51" i="8"/>
  <c r="J47" i="8"/>
  <c r="G47" i="8"/>
  <c r="N47" i="8"/>
  <c r="M47" i="8"/>
  <c r="L47" i="8"/>
  <c r="K47" i="8"/>
  <c r="H47" i="8"/>
  <c r="F47" i="8"/>
  <c r="E47" i="8"/>
  <c r="N43" i="8"/>
  <c r="M43" i="8"/>
  <c r="J43" i="8"/>
  <c r="I43" i="8"/>
  <c r="H43" i="8"/>
  <c r="G43" i="8"/>
  <c r="F43" i="8"/>
  <c r="E43" i="8"/>
  <c r="J39" i="8"/>
  <c r="G39" i="8"/>
  <c r="E39" i="8"/>
  <c r="N39" i="8"/>
  <c r="F39" i="8"/>
  <c r="J35" i="8"/>
  <c r="I35" i="8"/>
  <c r="H35" i="8"/>
  <c r="I47" i="8"/>
  <c r="L40" i="8"/>
  <c r="J40" i="8"/>
  <c r="M39" i="8"/>
  <c r="H39" i="8"/>
  <c r="K35" i="8"/>
  <c r="N125" i="15"/>
  <c r="L50" i="8" s="1"/>
  <c r="M125" i="15"/>
  <c r="K50" i="8" s="1"/>
  <c r="F125" i="15"/>
  <c r="H105" i="15"/>
  <c r="F46" i="8" s="1"/>
  <c r="P143" i="15"/>
  <c r="O143" i="15"/>
  <c r="N143" i="15"/>
  <c r="M143" i="15"/>
  <c r="L143" i="15"/>
  <c r="K143" i="15"/>
  <c r="J143" i="15"/>
  <c r="I143" i="15"/>
  <c r="H143" i="15"/>
  <c r="G143" i="15"/>
  <c r="F143" i="15"/>
  <c r="C18" i="28"/>
  <c r="B120" i="15" a="1"/>
  <c r="B120" i="15" s="1"/>
  <c r="B116" i="15" a="1"/>
  <c r="B116" i="15" s="1"/>
  <c r="B112" i="15" a="1"/>
  <c r="B112" i="15" s="1"/>
  <c r="B109" i="15" a="1"/>
  <c r="B109" i="15" s="1"/>
  <c r="B101" i="15" a="1"/>
  <c r="B101" i="15" s="1"/>
  <c r="B97" i="15" a="1"/>
  <c r="B97" i="15" s="1"/>
  <c r="B89" i="15" a="1"/>
  <c r="B89" i="15" s="1"/>
  <c r="B85" i="15" a="1"/>
  <c r="B85" i="15" s="1"/>
  <c r="B81" i="15" a="1"/>
  <c r="B81" i="15" s="1"/>
  <c r="B76" i="15" a="1"/>
  <c r="B76" i="15" s="1"/>
  <c r="B63" i="15" a="1"/>
  <c r="B63" i="15" s="1"/>
  <c r="B55" i="15" a="1"/>
  <c r="B55" i="15" s="1"/>
  <c r="B51" i="15" a="1"/>
  <c r="B51" i="15" s="1"/>
  <c r="B40" i="15" a="1"/>
  <c r="B40" i="15" s="1"/>
  <c r="B33" i="15" a="1"/>
  <c r="B33" i="15" s="1"/>
  <c r="B29" i="15" a="1"/>
  <c r="B29" i="15" s="1"/>
  <c r="B18" i="15" a="1"/>
  <c r="B18" i="15" s="1"/>
  <c r="B11" i="15" a="1"/>
  <c r="B11" i="15" s="1"/>
  <c r="B7" i="15" a="1"/>
  <c r="B7" i="15" s="1"/>
  <c r="H25" i="28"/>
  <c r="C25" i="28"/>
  <c r="H24" i="28"/>
  <c r="C24" i="28"/>
  <c r="H23" i="28"/>
  <c r="C23" i="28"/>
  <c r="H18" i="28"/>
  <c r="D18" i="28" s="1"/>
  <c r="C21" i="28"/>
  <c r="H20" i="28"/>
  <c r="C20" i="28"/>
  <c r="E47" i="15"/>
  <c r="C47" i="15"/>
  <c r="C38" i="8"/>
  <c r="S25" i="8"/>
  <c r="S24" i="8"/>
  <c r="S23" i="8"/>
  <c r="S22" i="8"/>
  <c r="U25" i="8"/>
  <c r="T25" i="8"/>
  <c r="U24" i="8"/>
  <c r="T24" i="8"/>
  <c r="U23" i="8"/>
  <c r="T23" i="8"/>
  <c r="U22" i="8"/>
  <c r="T22" i="8"/>
  <c r="U21" i="8"/>
  <c r="T21" i="8"/>
  <c r="U20" i="8"/>
  <c r="T20" i="8"/>
  <c r="S21" i="8"/>
  <c r="R21" i="8"/>
  <c r="R14" i="8"/>
  <c r="R7" i="8"/>
  <c r="U18" i="8"/>
  <c r="T18" i="8"/>
  <c r="S18" i="8"/>
  <c r="U17" i="8"/>
  <c r="T17" i="8"/>
  <c r="S17" i="8"/>
  <c r="U16" i="8"/>
  <c r="T16" i="8"/>
  <c r="S16" i="8"/>
  <c r="U15" i="8"/>
  <c r="T15" i="8"/>
  <c r="S15" i="8"/>
  <c r="U14" i="8"/>
  <c r="T14" i="8"/>
  <c r="U13" i="8"/>
  <c r="T13" i="8"/>
  <c r="S14" i="8"/>
  <c r="U11" i="8"/>
  <c r="T11" i="8"/>
  <c r="U10" i="8"/>
  <c r="T10" i="8"/>
  <c r="U9" i="8"/>
  <c r="T9" i="8"/>
  <c r="U8" i="8"/>
  <c r="T8" i="8"/>
  <c r="U7" i="8"/>
  <c r="T7" i="8"/>
  <c r="S11" i="8"/>
  <c r="S10" i="8"/>
  <c r="S9" i="8"/>
  <c r="S8" i="8"/>
  <c r="U6" i="8"/>
  <c r="T6" i="8"/>
  <c r="S7" i="8"/>
  <c r="C13" i="8"/>
  <c r="C12" i="8"/>
  <c r="C11" i="8"/>
  <c r="C9" i="8"/>
  <c r="C8" i="8"/>
  <c r="C7" i="8"/>
  <c r="C61" i="8"/>
  <c r="C60" i="8"/>
  <c r="C59" i="8"/>
  <c r="C57" i="8"/>
  <c r="C56" i="8"/>
  <c r="C55" i="8"/>
  <c r="C52" i="8"/>
  <c r="C51" i="8"/>
  <c r="C50" i="8"/>
  <c r="C48" i="8"/>
  <c r="C47" i="8"/>
  <c r="C46" i="8"/>
  <c r="C40" i="8"/>
  <c r="C39" i="8"/>
  <c r="C44" i="8"/>
  <c r="C43" i="8"/>
  <c r="C42" i="8"/>
  <c r="P137" i="15"/>
  <c r="O137" i="15"/>
  <c r="N137" i="15"/>
  <c r="M137" i="15"/>
  <c r="L137" i="15"/>
  <c r="K137" i="15"/>
  <c r="J137" i="15"/>
  <c r="I137" i="15"/>
  <c r="H137" i="15"/>
  <c r="G137" i="15"/>
  <c r="F137" i="15"/>
  <c r="P124" i="15"/>
  <c r="P125" i="15" s="1"/>
  <c r="N50" i="8" s="1"/>
  <c r="O124" i="15"/>
  <c r="O125" i="15" s="1"/>
  <c r="M50" i="8" s="1"/>
  <c r="N124" i="15"/>
  <c r="M124" i="15"/>
  <c r="L124" i="15"/>
  <c r="L125" i="15" s="1"/>
  <c r="J50" i="8" s="1"/>
  <c r="K124" i="15"/>
  <c r="K125" i="15" s="1"/>
  <c r="I50" i="8" s="1"/>
  <c r="J124" i="15"/>
  <c r="J125" i="15" s="1"/>
  <c r="H50" i="8" s="1"/>
  <c r="I124" i="15"/>
  <c r="I125" i="15" s="1"/>
  <c r="G50" i="8" s="1"/>
  <c r="H124" i="15"/>
  <c r="H125" i="15" s="1"/>
  <c r="F50" i="8" s="1"/>
  <c r="G124" i="15"/>
  <c r="G125" i="15" s="1"/>
  <c r="E50" i="8" s="1"/>
  <c r="F124" i="15"/>
  <c r="E123" i="15"/>
  <c r="E122" i="15"/>
  <c r="E121" i="15"/>
  <c r="E119" i="15"/>
  <c r="E115" i="15"/>
  <c r="E118" i="15"/>
  <c r="E117" i="15"/>
  <c r="E114" i="15"/>
  <c r="E113" i="15"/>
  <c r="E111" i="15"/>
  <c r="E110" i="15"/>
  <c r="P104" i="15"/>
  <c r="P105" i="15" s="1"/>
  <c r="N46" i="8" s="1"/>
  <c r="O104" i="15"/>
  <c r="O105" i="15" s="1"/>
  <c r="M46" i="8" s="1"/>
  <c r="N104" i="15"/>
  <c r="N105" i="15" s="1"/>
  <c r="L46" i="8" s="1"/>
  <c r="M104" i="15"/>
  <c r="M105" i="15" s="1"/>
  <c r="K46" i="8" s="1"/>
  <c r="L104" i="15"/>
  <c r="L105" i="15" s="1"/>
  <c r="J46" i="8" s="1"/>
  <c r="K104" i="15"/>
  <c r="K105" i="15" s="1"/>
  <c r="I46" i="8" s="1"/>
  <c r="J104" i="15"/>
  <c r="J105" i="15" s="1"/>
  <c r="H46" i="8" s="1"/>
  <c r="I104" i="15"/>
  <c r="I105" i="15" s="1"/>
  <c r="G46" i="8" s="1"/>
  <c r="H104" i="15"/>
  <c r="G104" i="15"/>
  <c r="G105" i="15" s="1"/>
  <c r="E46" i="8" s="1"/>
  <c r="F104" i="15"/>
  <c r="F105" i="15" s="1"/>
  <c r="D46" i="8" s="1"/>
  <c r="E103" i="15"/>
  <c r="E102" i="15"/>
  <c r="E100" i="15"/>
  <c r="E99" i="15"/>
  <c r="E98" i="15"/>
  <c r="E96" i="15"/>
  <c r="E95" i="15"/>
  <c r="E94" i="15"/>
  <c r="E93" i="15"/>
  <c r="E92" i="15"/>
  <c r="E91" i="15"/>
  <c r="E90" i="15"/>
  <c r="E88" i="15"/>
  <c r="E87" i="15"/>
  <c r="E86" i="15"/>
  <c r="E84" i="15"/>
  <c r="E83" i="15"/>
  <c r="E82" i="15"/>
  <c r="E78" i="15"/>
  <c r="G67" i="15"/>
  <c r="P67" i="15"/>
  <c r="O67" i="15"/>
  <c r="N67" i="15"/>
  <c r="M67" i="15"/>
  <c r="L67" i="15"/>
  <c r="K67" i="15"/>
  <c r="J67" i="15"/>
  <c r="I67" i="15"/>
  <c r="H67" i="15"/>
  <c r="F67" i="15"/>
  <c r="F68" i="15" s="1"/>
  <c r="D42" i="8" s="1"/>
  <c r="E66" i="15"/>
  <c r="E65" i="15"/>
  <c r="E64" i="15"/>
  <c r="E62" i="15"/>
  <c r="E61" i="15"/>
  <c r="E60" i="15"/>
  <c r="E59" i="15"/>
  <c r="E58" i="15"/>
  <c r="E57" i="15"/>
  <c r="E56" i="15"/>
  <c r="E54" i="15"/>
  <c r="E53" i="15"/>
  <c r="E52" i="15"/>
  <c r="D41" i="15"/>
  <c r="E43" i="15"/>
  <c r="E42" i="15"/>
  <c r="E41" i="15"/>
  <c r="E39" i="15"/>
  <c r="E38" i="15"/>
  <c r="E37" i="15"/>
  <c r="E36" i="15"/>
  <c r="E35" i="15"/>
  <c r="E34" i="15"/>
  <c r="E32" i="15"/>
  <c r="E31" i="15"/>
  <c r="E30" i="15"/>
  <c r="P44" i="15"/>
  <c r="P73" i="15" s="1"/>
  <c r="O44" i="15"/>
  <c r="O73" i="15" s="1"/>
  <c r="N44" i="15"/>
  <c r="N73" i="15" s="1"/>
  <c r="M44" i="15"/>
  <c r="M73" i="15" s="1"/>
  <c r="L44" i="15"/>
  <c r="L73" i="15" s="1"/>
  <c r="K44" i="15"/>
  <c r="K73" i="15" s="1"/>
  <c r="J44" i="15"/>
  <c r="I44" i="15"/>
  <c r="I73" i="15" s="1"/>
  <c r="H44" i="15"/>
  <c r="H73" i="15" s="1"/>
  <c r="G44" i="15"/>
  <c r="G73" i="15" s="1"/>
  <c r="F44" i="15"/>
  <c r="F73" i="15" s="1"/>
  <c r="E10" i="15"/>
  <c r="E9" i="15"/>
  <c r="E8" i="15"/>
  <c r="E20" i="15"/>
  <c r="E19" i="15"/>
  <c r="E17" i="15"/>
  <c r="E15" i="15"/>
  <c r="E14" i="15"/>
  <c r="E13" i="15"/>
  <c r="E12" i="15"/>
  <c r="D43" i="15"/>
  <c r="D42" i="15"/>
  <c r="C40" i="15"/>
  <c r="D39" i="15"/>
  <c r="D38" i="15"/>
  <c r="D37" i="15"/>
  <c r="D36" i="15"/>
  <c r="D35" i="15"/>
  <c r="D34" i="15"/>
  <c r="C33" i="15"/>
  <c r="D32" i="15"/>
  <c r="D31" i="15"/>
  <c r="D30" i="15"/>
  <c r="C29" i="15"/>
  <c r="P22" i="15"/>
  <c r="O22" i="15"/>
  <c r="N22" i="15"/>
  <c r="M22" i="15"/>
  <c r="L22" i="15"/>
  <c r="K22" i="15"/>
  <c r="J22" i="15"/>
  <c r="I22" i="15"/>
  <c r="H22" i="15"/>
  <c r="G22" i="15"/>
  <c r="F22" i="15"/>
  <c r="E80" i="15"/>
  <c r="E79" i="15"/>
  <c r="E77" i="15"/>
  <c r="E21" i="15"/>
  <c r="E16" i="15"/>
  <c r="L69" i="18" l="1"/>
  <c r="O69" i="18"/>
  <c r="P130" i="19"/>
  <c r="P130" i="18"/>
  <c r="F69" i="19"/>
  <c r="H69" i="18"/>
  <c r="J69" i="19"/>
  <c r="L69" i="19"/>
  <c r="H130" i="18"/>
  <c r="M69" i="18"/>
  <c r="P69" i="18"/>
  <c r="N130" i="19"/>
  <c r="K130" i="19"/>
  <c r="K130" i="18"/>
  <c r="G69" i="19"/>
  <c r="K69" i="19"/>
  <c r="N130" i="18"/>
  <c r="G147" i="18"/>
  <c r="J147" i="18"/>
  <c r="F69" i="18"/>
  <c r="N69" i="19"/>
  <c r="I69" i="19"/>
  <c r="P147" i="18"/>
  <c r="J130" i="18"/>
  <c r="J69" i="18"/>
  <c r="I69" i="18"/>
  <c r="N69" i="18"/>
  <c r="O69" i="19"/>
  <c r="H147" i="19"/>
  <c r="F130" i="18"/>
  <c r="H147" i="18"/>
  <c r="K147" i="18"/>
  <c r="K69" i="18"/>
  <c r="H69" i="19"/>
  <c r="P69" i="19"/>
  <c r="N147" i="19"/>
  <c r="M69" i="19"/>
  <c r="G69" i="18"/>
  <c r="L147" i="19"/>
  <c r="N147" i="18"/>
  <c r="G130" i="18"/>
  <c r="O130" i="18"/>
  <c r="I147" i="19"/>
  <c r="G130" i="19"/>
  <c r="I134" i="19"/>
  <c r="F134" i="18"/>
  <c r="N134" i="18"/>
  <c r="L130" i="18"/>
  <c r="O147" i="18"/>
  <c r="F147" i="19"/>
  <c r="I130" i="18"/>
  <c r="J130" i="19"/>
  <c r="L134" i="19"/>
  <c r="M130" i="18"/>
  <c r="H134" i="18"/>
  <c r="H130" i="19"/>
  <c r="P147" i="19"/>
  <c r="H134" i="19"/>
  <c r="I134" i="18"/>
  <c r="O134" i="18"/>
  <c r="O130" i="19"/>
  <c r="M147" i="19"/>
  <c r="P134" i="18"/>
  <c r="O147" i="19"/>
  <c r="N134" i="19"/>
  <c r="P134" i="19"/>
  <c r="K134" i="18"/>
  <c r="K147" i="19"/>
  <c r="G147" i="19"/>
  <c r="G134" i="18"/>
  <c r="L147" i="18"/>
  <c r="L130" i="19"/>
  <c r="K134" i="19"/>
  <c r="F134" i="19"/>
  <c r="M147" i="18"/>
  <c r="F130" i="19"/>
  <c r="I147" i="18"/>
  <c r="I130" i="19"/>
  <c r="J147" i="19"/>
  <c r="J134" i="18"/>
  <c r="F147" i="18"/>
  <c r="M130" i="19"/>
  <c r="O134" i="19"/>
  <c r="G134" i="19"/>
  <c r="J134" i="19"/>
  <c r="M134" i="18"/>
  <c r="M134" i="19"/>
  <c r="L134" i="18"/>
  <c r="N10" i="8"/>
  <c r="E32" i="8"/>
  <c r="E54" i="8" s="1"/>
  <c r="D10" i="8"/>
  <c r="J32" i="8"/>
  <c r="J54" i="8" s="1"/>
  <c r="K32" i="8"/>
  <c r="K54" i="8" s="1"/>
  <c r="E125" i="15"/>
  <c r="F10" i="8"/>
  <c r="G10" i="8"/>
  <c r="H10" i="8"/>
  <c r="I10" i="8"/>
  <c r="D50" i="8"/>
  <c r="E105" i="15"/>
  <c r="E40" i="8"/>
  <c r="D40" i="8"/>
  <c r="G40" i="8"/>
  <c r="G36" i="8"/>
  <c r="H36" i="8"/>
  <c r="D48" i="8"/>
  <c r="F11" i="28"/>
  <c r="F23" i="28" s="1"/>
  <c r="K36" i="8"/>
  <c r="H40" i="8"/>
  <c r="J44" i="8"/>
  <c r="J57" i="8" s="1"/>
  <c r="L36" i="8"/>
  <c r="I40" i="8"/>
  <c r="K44" i="8"/>
  <c r="K57" i="8" s="1"/>
  <c r="H52" i="8"/>
  <c r="E36" i="8"/>
  <c r="E57" i="8" s="1"/>
  <c r="M36" i="8"/>
  <c r="M57" i="8" s="1"/>
  <c r="L44" i="8"/>
  <c r="I52" i="8"/>
  <c r="I57" i="8" s="1"/>
  <c r="F36" i="8"/>
  <c r="F57" i="8" s="1"/>
  <c r="N36" i="8"/>
  <c r="N57" i="8" s="1"/>
  <c r="K40" i="8"/>
  <c r="E11" i="28"/>
  <c r="E23" i="28" s="1"/>
  <c r="D47" i="8"/>
  <c r="G51" i="8"/>
  <c r="G60" i="8" s="1"/>
  <c r="L35" i="8"/>
  <c r="I39" i="8"/>
  <c r="K43" i="8"/>
  <c r="H51" i="8"/>
  <c r="E35" i="8"/>
  <c r="E56" i="8" s="1"/>
  <c r="M35" i="8"/>
  <c r="M56" i="8" s="1"/>
  <c r="L43" i="8"/>
  <c r="L56" i="8" s="1"/>
  <c r="I51" i="8"/>
  <c r="F35" i="8"/>
  <c r="F56" i="8" s="1"/>
  <c r="N35" i="8"/>
  <c r="K39" i="8"/>
  <c r="K60" i="8" s="1"/>
  <c r="J51" i="8"/>
  <c r="J60" i="8" s="1"/>
  <c r="G35" i="8"/>
  <c r="L39" i="8"/>
  <c r="F45" i="15"/>
  <c r="D38" i="8" s="1"/>
  <c r="N45" i="15"/>
  <c r="L38" i="8" s="1"/>
  <c r="L59" i="8" s="1"/>
  <c r="M45" i="15"/>
  <c r="K38" i="8" s="1"/>
  <c r="G45" i="15"/>
  <c r="E38" i="8" s="1"/>
  <c r="O45" i="15"/>
  <c r="M38" i="8" s="1"/>
  <c r="H45" i="15"/>
  <c r="F38" i="8" s="1"/>
  <c r="P45" i="15"/>
  <c r="N38" i="8" s="1"/>
  <c r="N59" i="8" s="1"/>
  <c r="I45" i="15"/>
  <c r="G38" i="8" s="1"/>
  <c r="J45" i="15"/>
  <c r="H38" i="8" s="1"/>
  <c r="K45" i="15"/>
  <c r="I38" i="8" s="1"/>
  <c r="L45" i="15"/>
  <c r="J38" i="8" s="1"/>
  <c r="A6" i="15"/>
  <c r="N68" i="15"/>
  <c r="L42" i="8" s="1"/>
  <c r="I23" i="15"/>
  <c r="G34" i="8" s="1"/>
  <c r="A49" i="15"/>
  <c r="G68" i="15"/>
  <c r="E42" i="8" s="1"/>
  <c r="O68" i="15"/>
  <c r="M42" i="8" s="1"/>
  <c r="J23" i="15"/>
  <c r="H34" i="8" s="1"/>
  <c r="H55" i="8" s="1"/>
  <c r="A107" i="15"/>
  <c r="H68" i="15"/>
  <c r="F42" i="8" s="1"/>
  <c r="F59" i="8" s="1"/>
  <c r="P68" i="15"/>
  <c r="N42" i="8" s="1"/>
  <c r="K23" i="15"/>
  <c r="I34" i="8" s="1"/>
  <c r="I68" i="15"/>
  <c r="G42" i="8" s="1"/>
  <c r="G59" i="8" s="1"/>
  <c r="L23" i="15"/>
  <c r="J34" i="8" s="1"/>
  <c r="J68" i="15"/>
  <c r="H42" i="8" s="1"/>
  <c r="M23" i="15"/>
  <c r="K34" i="8" s="1"/>
  <c r="K68" i="15"/>
  <c r="I42" i="8" s="1"/>
  <c r="F23" i="15"/>
  <c r="D34" i="8" s="1"/>
  <c r="D55" i="8" s="1"/>
  <c r="D7" i="8" s="1"/>
  <c r="N23" i="15"/>
  <c r="L34" i="8" s="1"/>
  <c r="L55" i="8" s="1"/>
  <c r="A28" i="15"/>
  <c r="L68" i="15"/>
  <c r="J42" i="8" s="1"/>
  <c r="G23" i="15"/>
  <c r="E34" i="8" s="1"/>
  <c r="E55" i="8" s="1"/>
  <c r="O23" i="15"/>
  <c r="M34" i="8" s="1"/>
  <c r="M68" i="15"/>
  <c r="K42" i="8" s="1"/>
  <c r="H23" i="15"/>
  <c r="F34" i="8" s="1"/>
  <c r="P23" i="15"/>
  <c r="N34" i="8" s="1"/>
  <c r="N55" i="8" s="1"/>
  <c r="N60" i="8"/>
  <c r="H60" i="8"/>
  <c r="G69" i="15"/>
  <c r="O69" i="15"/>
  <c r="H69" i="15"/>
  <c r="P69" i="15"/>
  <c r="I69" i="15"/>
  <c r="J69" i="15"/>
  <c r="K69" i="15"/>
  <c r="L69" i="15"/>
  <c r="M69" i="15"/>
  <c r="F69" i="15"/>
  <c r="N69" i="15"/>
  <c r="E24" i="28"/>
  <c r="A74" i="15"/>
  <c r="G128" i="15"/>
  <c r="G130" i="15" s="1"/>
  <c r="O128" i="15"/>
  <c r="O130" i="15" s="1"/>
  <c r="L128" i="15"/>
  <c r="L130" i="15" s="1"/>
  <c r="F128" i="15"/>
  <c r="F141" i="15" s="1"/>
  <c r="F140" i="15" s="1"/>
  <c r="E60" i="8"/>
  <c r="F60" i="8"/>
  <c r="M128" i="15"/>
  <c r="M130" i="15" s="1"/>
  <c r="P128" i="15"/>
  <c r="P130" i="15" s="1"/>
  <c r="M55" i="8"/>
  <c r="N128" i="15"/>
  <c r="N130" i="15" s="1"/>
  <c r="K128" i="15"/>
  <c r="J128" i="15"/>
  <c r="J130" i="15" s="1"/>
  <c r="I128" i="15"/>
  <c r="I132" i="15" s="1"/>
  <c r="I133" i="15" s="1"/>
  <c r="H128" i="15"/>
  <c r="H132" i="15" s="1"/>
  <c r="H133" i="15" s="1"/>
  <c r="H59" i="8"/>
  <c r="J73" i="15"/>
  <c r="E61" i="8"/>
  <c r="F61" i="8"/>
  <c r="N61" i="8"/>
  <c r="M61" i="8"/>
  <c r="K56" i="8"/>
  <c r="K55" i="8"/>
  <c r="E124" i="15"/>
  <c r="E104" i="15"/>
  <c r="E67" i="15"/>
  <c r="K72" i="15"/>
  <c r="H72" i="15"/>
  <c r="M72" i="15"/>
  <c r="P72" i="15"/>
  <c r="J72" i="15"/>
  <c r="E44" i="15"/>
  <c r="E73" i="15" s="1"/>
  <c r="G72" i="15"/>
  <c r="O72" i="15"/>
  <c r="F72" i="15"/>
  <c r="N72" i="15"/>
  <c r="E22" i="15"/>
  <c r="L72" i="15"/>
  <c r="I72" i="15"/>
  <c r="E130" i="18" l="1"/>
  <c r="E69" i="19"/>
  <c r="E130" i="19"/>
  <c r="F146" i="19"/>
  <c r="G146" i="19" s="1"/>
  <c r="H146" i="19" s="1"/>
  <c r="I146" i="19" s="1"/>
  <c r="J146" i="19" s="1"/>
  <c r="K146" i="19" s="1"/>
  <c r="L146" i="19" s="1"/>
  <c r="M146" i="19" s="1"/>
  <c r="N146" i="19" s="1"/>
  <c r="O146" i="19" s="1"/>
  <c r="P146" i="19" s="1"/>
  <c r="E147" i="19"/>
  <c r="F146" i="18"/>
  <c r="G146" i="18" s="1"/>
  <c r="H146" i="18" s="1"/>
  <c r="I146" i="18" s="1"/>
  <c r="J146" i="18" s="1"/>
  <c r="K146" i="18" s="1"/>
  <c r="L146" i="18" s="1"/>
  <c r="M146" i="18" s="1"/>
  <c r="N146" i="18" s="1"/>
  <c r="O146" i="18" s="1"/>
  <c r="P146" i="18" s="1"/>
  <c r="E147" i="18"/>
  <c r="E69" i="18"/>
  <c r="I61" i="8"/>
  <c r="L57" i="8"/>
  <c r="J61" i="8"/>
  <c r="J56" i="8"/>
  <c r="J55" i="8"/>
  <c r="D12" i="28"/>
  <c r="D24" i="28" s="1"/>
  <c r="D11" i="28"/>
  <c r="D23" i="28" s="1"/>
  <c r="I60" i="8"/>
  <c r="H61" i="8"/>
  <c r="F55" i="8"/>
  <c r="I55" i="8"/>
  <c r="G55" i="8"/>
  <c r="K59" i="8"/>
  <c r="H57" i="8"/>
  <c r="I59" i="8"/>
  <c r="G52" i="8"/>
  <c r="G57" i="8" s="1"/>
  <c r="G61" i="8"/>
  <c r="K61" i="8"/>
  <c r="D8" i="28"/>
  <c r="D13" i="28"/>
  <c r="D25" i="28" s="1"/>
  <c r="D9" i="28"/>
  <c r="L60" i="8"/>
  <c r="F12" i="28"/>
  <c r="F24" i="28" s="1"/>
  <c r="L61" i="8"/>
  <c r="F13" i="28"/>
  <c r="F25" i="28" s="1"/>
  <c r="F9" i="28"/>
  <c r="F8" i="28"/>
  <c r="D36" i="8"/>
  <c r="D44" i="8"/>
  <c r="F7" i="28"/>
  <c r="D35" i="8"/>
  <c r="D43" i="8"/>
  <c r="D39" i="8"/>
  <c r="E45" i="15"/>
  <c r="E23" i="15"/>
  <c r="E68" i="15"/>
  <c r="H134" i="15"/>
  <c r="I134" i="15"/>
  <c r="K129" i="15"/>
  <c r="K132" i="15"/>
  <c r="F129" i="15"/>
  <c r="F132" i="15"/>
  <c r="A1" i="15"/>
  <c r="K130" i="15"/>
  <c r="N129" i="15"/>
  <c r="N132" i="15"/>
  <c r="P129" i="15"/>
  <c r="P132" i="15"/>
  <c r="H130" i="15"/>
  <c r="F130" i="15"/>
  <c r="M129" i="15"/>
  <c r="M132" i="15"/>
  <c r="L129" i="15"/>
  <c r="L132" i="15"/>
  <c r="O129" i="15"/>
  <c r="O132" i="15"/>
  <c r="I130" i="15"/>
  <c r="J129" i="15"/>
  <c r="J132" i="15"/>
  <c r="G129" i="15"/>
  <c r="G132" i="15"/>
  <c r="M60" i="8"/>
  <c r="I56" i="8"/>
  <c r="H56" i="8"/>
  <c r="G56" i="8"/>
  <c r="N56" i="8"/>
  <c r="E69" i="15"/>
  <c r="E20" i="28"/>
  <c r="E45" i="28" s="1"/>
  <c r="E25" i="28"/>
  <c r="E7" i="28"/>
  <c r="G147" i="15"/>
  <c r="O139" i="15"/>
  <c r="H147" i="15"/>
  <c r="H129" i="15"/>
  <c r="O141" i="15"/>
  <c r="I147" i="15"/>
  <c r="I129" i="15"/>
  <c r="P141" i="15"/>
  <c r="P145" i="15"/>
  <c r="F145" i="15"/>
  <c r="F147" i="15"/>
  <c r="J145" i="15"/>
  <c r="O145" i="15"/>
  <c r="J147" i="15"/>
  <c r="K141" i="15"/>
  <c r="K145" i="15"/>
  <c r="G141" i="15"/>
  <c r="G140" i="15" s="1"/>
  <c r="G145" i="15"/>
  <c r="M141" i="15"/>
  <c r="M145" i="15"/>
  <c r="I141" i="15"/>
  <c r="I145" i="15"/>
  <c r="L141" i="15"/>
  <c r="L145" i="15"/>
  <c r="L147" i="15"/>
  <c r="O147" i="15"/>
  <c r="K147" i="15"/>
  <c r="H141" i="15"/>
  <c r="H145" i="15"/>
  <c r="M147" i="15"/>
  <c r="N141" i="15"/>
  <c r="N145" i="15"/>
  <c r="N147" i="15"/>
  <c r="P147" i="15"/>
  <c r="G139" i="15"/>
  <c r="E38" i="28"/>
  <c r="D59" i="8"/>
  <c r="D11" i="8" s="1"/>
  <c r="M139" i="15"/>
  <c r="J141" i="15"/>
  <c r="L139" i="15"/>
  <c r="M59" i="8"/>
  <c r="J59" i="8"/>
  <c r="E59" i="8"/>
  <c r="K139" i="15"/>
  <c r="I139" i="15"/>
  <c r="J139" i="15"/>
  <c r="H139" i="15"/>
  <c r="P139" i="15"/>
  <c r="N139" i="15"/>
  <c r="E7" i="8"/>
  <c r="F139" i="15"/>
  <c r="E128" i="15"/>
  <c r="E72" i="15"/>
  <c r="D56" i="8" l="1"/>
  <c r="D8" i="8" s="1"/>
  <c r="E8" i="8" s="1"/>
  <c r="F8" i="8" s="1"/>
  <c r="G8" i="8" s="1"/>
  <c r="H8" i="8" s="1"/>
  <c r="I8" i="8" s="1"/>
  <c r="J8" i="8" s="1"/>
  <c r="K8" i="8" s="1"/>
  <c r="L8" i="8" s="1"/>
  <c r="M8" i="8" s="1"/>
  <c r="N8" i="8" s="1"/>
  <c r="F7" i="8"/>
  <c r="G7" i="8" s="1"/>
  <c r="H7" i="8" s="1"/>
  <c r="I7" i="8" s="1"/>
  <c r="J7" i="8" s="1"/>
  <c r="K7" i="8" s="1"/>
  <c r="L7" i="8" s="1"/>
  <c r="M7" i="8" s="1"/>
  <c r="N7" i="8" s="1"/>
  <c r="D60" i="8"/>
  <c r="D12" i="8" s="1"/>
  <c r="E12" i="8" s="1"/>
  <c r="F12" i="8" s="1"/>
  <c r="G12" i="8" s="1"/>
  <c r="H12" i="8" s="1"/>
  <c r="I12" i="8" s="1"/>
  <c r="J12" i="8" s="1"/>
  <c r="K12" i="8" s="1"/>
  <c r="L12" i="8" s="1"/>
  <c r="M12" i="8" s="1"/>
  <c r="N12" i="8" s="1"/>
  <c r="D46" i="28"/>
  <c r="D20" i="28"/>
  <c r="D45" i="28" s="1"/>
  <c r="D7" i="28"/>
  <c r="D19" i="28" s="1"/>
  <c r="E46" i="28"/>
  <c r="F46" i="28"/>
  <c r="H21" i="28"/>
  <c r="D21" i="28" s="1"/>
  <c r="D57" i="8"/>
  <c r="D9" i="8" s="1"/>
  <c r="E9" i="8" s="1"/>
  <c r="F9" i="8" s="1"/>
  <c r="G9" i="8" s="1"/>
  <c r="H9" i="8" s="1"/>
  <c r="I9" i="8" s="1"/>
  <c r="J9" i="8" s="1"/>
  <c r="K9" i="8" s="1"/>
  <c r="L9" i="8" s="1"/>
  <c r="M9" i="8" s="1"/>
  <c r="N9" i="8" s="1"/>
  <c r="D61" i="8"/>
  <c r="D13" i="8" s="1"/>
  <c r="E13" i="8" s="1"/>
  <c r="F13" i="8" s="1"/>
  <c r="G13" i="8" s="1"/>
  <c r="H13" i="8" s="1"/>
  <c r="I13" i="8" s="1"/>
  <c r="J13" i="8" s="1"/>
  <c r="K13" i="8" s="1"/>
  <c r="L13" i="8" s="1"/>
  <c r="M13" i="8" s="1"/>
  <c r="N13" i="8" s="1"/>
  <c r="F133" i="15"/>
  <c r="F134" i="15"/>
  <c r="M133" i="15"/>
  <c r="M134" i="15"/>
  <c r="J133" i="15"/>
  <c r="J134" i="15"/>
  <c r="O133" i="15"/>
  <c r="O134" i="15"/>
  <c r="P133" i="15"/>
  <c r="P134" i="15"/>
  <c r="K133" i="15"/>
  <c r="K134" i="15"/>
  <c r="L133" i="15"/>
  <c r="L134" i="15"/>
  <c r="N133" i="15"/>
  <c r="N134" i="15"/>
  <c r="G133" i="15"/>
  <c r="G134" i="15"/>
  <c r="E130" i="15"/>
  <c r="F20" i="28"/>
  <c r="F45" i="28" s="1"/>
  <c r="F146" i="15"/>
  <c r="G146" i="15" s="1"/>
  <c r="H146" i="15" s="1"/>
  <c r="I146" i="15" s="1"/>
  <c r="J146" i="15" s="1"/>
  <c r="K146" i="15" s="1"/>
  <c r="L146" i="15" s="1"/>
  <c r="M146" i="15" s="1"/>
  <c r="N146" i="15" s="1"/>
  <c r="O146" i="15" s="1"/>
  <c r="P146" i="15" s="1"/>
  <c r="F144" i="15"/>
  <c r="G144" i="15" s="1"/>
  <c r="F38" i="28"/>
  <c r="D38" i="28"/>
  <c r="E129" i="15"/>
  <c r="G138" i="15"/>
  <c r="H138" i="15" s="1"/>
  <c r="I138" i="15" s="1"/>
  <c r="J138" i="15" s="1"/>
  <c r="K138" i="15" s="1"/>
  <c r="L138" i="15" s="1"/>
  <c r="M138" i="15" s="1"/>
  <c r="N138" i="15" s="1"/>
  <c r="O138" i="15" s="1"/>
  <c r="P138" i="15" s="1"/>
  <c r="H140" i="15"/>
  <c r="F19" i="28"/>
  <c r="F44" i="28"/>
  <c r="F36" i="28"/>
  <c r="F29" i="28"/>
  <c r="E19" i="28"/>
  <c r="E36" i="28"/>
  <c r="E44" i="28"/>
  <c r="E29" i="28"/>
  <c r="E11" i="8"/>
  <c r="F11" i="8" s="1"/>
  <c r="G11" i="8" s="1"/>
  <c r="H11" i="8" s="1"/>
  <c r="I11" i="8" s="1"/>
  <c r="J11" i="8" s="1"/>
  <c r="K11" i="8" s="1"/>
  <c r="L11" i="8" s="1"/>
  <c r="M11" i="8" s="1"/>
  <c r="N11" i="8" s="1"/>
  <c r="E47" i="28" l="1"/>
  <c r="D47" i="28"/>
  <c r="D36" i="28"/>
  <c r="D37" i="28"/>
  <c r="D40" i="28" s="1"/>
  <c r="D44" i="28"/>
  <c r="D52" i="28"/>
  <c r="D29" i="28"/>
  <c r="F47" i="28"/>
  <c r="D30" i="28"/>
  <c r="D32" i="28" s="1"/>
  <c r="F21" i="28"/>
  <c r="F30" i="28" s="1"/>
  <c r="F32" i="28" s="1"/>
  <c r="E21" i="28"/>
  <c r="E37" i="28" s="1"/>
  <c r="E40" i="28" s="1"/>
  <c r="E52" i="28"/>
  <c r="E53" i="28"/>
  <c r="D53" i="28"/>
  <c r="F53" i="28"/>
  <c r="F52" i="28"/>
  <c r="I140" i="15"/>
  <c r="H144" i="15"/>
  <c r="D54" i="28" l="1"/>
  <c r="F37" i="28"/>
  <c r="F40" i="28" s="1"/>
  <c r="E51" i="28" s="1"/>
  <c r="E30" i="28"/>
  <c r="E32" i="28" s="1"/>
  <c r="F50" i="28" s="1"/>
  <c r="E54" i="28"/>
  <c r="F54" i="28"/>
  <c r="I144" i="15"/>
  <c r="J140" i="15"/>
  <c r="F51" i="28" l="1"/>
  <c r="D51" i="28"/>
  <c r="D50" i="28"/>
  <c r="E50" i="28"/>
  <c r="K140" i="15"/>
  <c r="J144" i="15"/>
  <c r="L140" i="15" l="1"/>
  <c r="K144" i="15"/>
  <c r="M140" i="15" l="1"/>
  <c r="L144" i="15"/>
  <c r="N140" i="15" l="1"/>
  <c r="M144" i="15"/>
  <c r="O140" i="15" l="1"/>
  <c r="N144" i="15"/>
  <c r="P140" i="15" l="1"/>
  <c r="O144" i="15"/>
  <c r="P144" i="1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<sst xmlns="http://schemas.openxmlformats.org/spreadsheetml/2006/main" count="509" uniqueCount="226">
  <si>
    <t>Vuosi</t>
  </si>
  <si>
    <t>Diskontatut käyttökulut</t>
  </si>
  <si>
    <t>Diskontatut käyttökulut korjatulla laskentakorkokannalla</t>
  </si>
  <si>
    <t>Pienin takaisinmaksuaika (1)</t>
  </si>
  <si>
    <t>Suurin IRR (1)</t>
  </si>
  <si>
    <t>Suurin ROI (1)</t>
  </si>
  <si>
    <t>Suurin annuiteetti</t>
  </si>
  <si>
    <t>Suurin nettonykyarvo</t>
  </si>
  <si>
    <t>1.</t>
  </si>
  <si>
    <t>2.</t>
  </si>
  <si>
    <t>3.</t>
  </si>
  <si>
    <t>4.</t>
  </si>
  <si>
    <t>5.</t>
  </si>
  <si>
    <t>6.</t>
  </si>
  <si>
    <t>PURPOSE</t>
  </si>
  <si>
    <t>The tool enables a comparison of three scenarios (options).</t>
  </si>
  <si>
    <t>The scenario viabilities can be analysed by changing key parameters with sliders (sensitivity analysis).</t>
  </si>
  <si>
    <t>TOOL STRUCTURE</t>
  </si>
  <si>
    <t>Summary:</t>
  </si>
  <si>
    <t>Viability comparison:</t>
  </si>
  <si>
    <t>Option 1-3:</t>
  </si>
  <si>
    <t>The cumulative net benefit table and graphs show how the costs turn into monetary benefits</t>
  </si>
  <si>
    <t>The tables below the graphs summarize the various costs and benefits under the main headings</t>
  </si>
  <si>
    <t>The qualitative benefits are summarised to the right of the graphs</t>
  </si>
  <si>
    <t>This tool is meant for analysing program/project's monetary and qualitative viability.</t>
  </si>
  <si>
    <t>The interest rate for the calculations is determined here</t>
  </si>
  <si>
    <t>The viability of the options is compared using five different methods (NPV, annuity, payback, IRR, ROI)</t>
  </si>
  <si>
    <t>The costs and benefits of different scenarios are planned in their own sheets</t>
  </si>
  <si>
    <t>Review years are determined in Option 1 sheet</t>
  </si>
  <si>
    <t>The cost calculation for the entire tool can be adjusted by changing the interest rate on the Viability comparison sheet:</t>
  </si>
  <si>
    <t>However, it is usually advisable to use 0% as the initial assumption for the calculation rate, because usually the costs and future benefits of the program / project are already estimated in current money (present value).</t>
  </si>
  <si>
    <t>BREAKDOWN OF COSTS AND BENEFITS</t>
  </si>
  <si>
    <t>This cost-benefit tool is intended for breaking down the financial costs and benefits into four areas:</t>
  </si>
  <si>
    <t>Costs during the program / project (investment)</t>
  </si>
  <si>
    <t>Post-implementation operational costs as a result of the program / project</t>
  </si>
  <si>
    <t>Direct income after implementation as well as the savings generated as a result of the program / project</t>
  </si>
  <si>
    <t>Post-implementation financial impact on customer space and public service needs</t>
  </si>
  <si>
    <t>The tool enables the residual value definition of the investment in the Option sheets:</t>
  </si>
  <si>
    <t>However,  most progrmans / projects leave no residual value that can be be converted into cash. If for example the program / project invests in equipment that can be sold after its service life, it is worth determining its residual value.</t>
  </si>
  <si>
    <t>COSTS BREAKDOWN PRINCIPLES</t>
  </si>
  <si>
    <t>The change and cost pursued by the program / project is to be allocated according to the functions of the organizational value chain:</t>
  </si>
  <si>
    <t>Primary activities</t>
  </si>
  <si>
    <t>Digitalisation and technology</t>
  </si>
  <si>
    <t>Other supporting activities</t>
  </si>
  <si>
    <t>The purpose of this breakdown is to identify which activities of the organization in its overall value chain the program / project will change and how much they will incur change costs as well as new operational costs in the future.</t>
  </si>
  <si>
    <t>The Option sheets provide this breakdown of costs for both the implementation costs and post-implementation cost of the program / project.</t>
  </si>
  <si>
    <t>BENEFITS BREAKDOWN PRINCIPLES</t>
  </si>
  <si>
    <t>Similarly, the pursued financial benefit is to be allocated to:</t>
  </si>
  <si>
    <t>Direct financial income</t>
  </si>
  <si>
    <t>Operational benefits in primary services</t>
  </si>
  <si>
    <t>Operational benefits in digitalisation and technology functions</t>
  </si>
  <si>
    <t>Operational benefits in other supporting functions</t>
  </si>
  <si>
    <t>Impact to the need for public services</t>
  </si>
  <si>
    <t>Impacts in different customer groups of the local government</t>
  </si>
  <si>
    <t>Qualitative benefits and associated risks are also described in the Option sheets:</t>
  </si>
  <si>
    <t>Five most important non-monetary benefits that a program / project produces</t>
  </si>
  <si>
    <t>Other additional benefits that cannot be measured in money, but are not crucially important either.</t>
  </si>
  <si>
    <t>In addition, more detailed calculations can attached:</t>
  </si>
  <si>
    <t>Each cost-benefit row has a cell in which you can write a reference to a more detailed calculation.</t>
  </si>
  <si>
    <t>Net present value (NPV)</t>
  </si>
  <si>
    <t>Annuity method</t>
  </si>
  <si>
    <t>Payback time</t>
  </si>
  <si>
    <t>Internal rate of return (IRR)</t>
  </si>
  <si>
    <t>Return on investment (ROI)</t>
  </si>
  <si>
    <t>The sheet automatically marks the most viable option indicated by each method.</t>
  </si>
  <si>
    <t>The sheet also colors unprofitable options with a red background color.</t>
  </si>
  <si>
    <t>Calculation interest rate</t>
  </si>
  <si>
    <t>Total cost of investment</t>
  </si>
  <si>
    <t>Useful lifetime of the investment</t>
  </si>
  <si>
    <t>Average annual operating cost</t>
  </si>
  <si>
    <t>Average annual monetary benefits</t>
  </si>
  <si>
    <t>Residual value</t>
  </si>
  <si>
    <t>Viability can be analysed by adjusting the parameters with the sliders on the Viability comparison sheet (sensitivity analysis):</t>
  </si>
  <si>
    <t>Sensitivity analysis sliders do not affect the original values on the Summary sheet and the Option sheets.</t>
  </si>
  <si>
    <t>Guide to the tool</t>
  </si>
  <si>
    <t>Costs and Benefits Analysis</t>
  </si>
  <si>
    <t>Cost-benefit summary of the options</t>
  </si>
  <si>
    <t>[This sheet summarizes the implementation cost of the program / project, the running costs, the financial benefits / savings, and the financial customer and ecosystem impacts between the different options. The sheet also indicates the payback period, ie when the break-even point is reached (as cash flow and with depreciation separately). The sheet discounts the values entered on the Option sheet to the present value. The discount rate is determined on the Profitability comparison sheet.]</t>
  </si>
  <si>
    <t>Accumulative net benefit in different options</t>
  </si>
  <si>
    <t>Using depreciation [EUR]</t>
  </si>
  <si>
    <t>Summary of the financial costs and benefits in the different options</t>
  </si>
  <si>
    <t>Program / project investments as cash flow [EUR/a]</t>
  </si>
  <si>
    <t>Option 1</t>
  </si>
  <si>
    <t>Option 2</t>
  </si>
  <si>
    <t>Option 3</t>
  </si>
  <si>
    <t>Program / projects investments using depreciation [EUR/a]</t>
  </si>
  <si>
    <t>Post-implementation costs [EUR/a]</t>
  </si>
  <si>
    <t>Monetary savings and benefits resulted by the program / project [EUR/a]</t>
  </si>
  <si>
    <t>Monetary public sector and customer space impacts resulted by the program / projects [EUR/a]</t>
  </si>
  <si>
    <t>Net benefit summary</t>
  </si>
  <si>
    <t>In cash flow [EUR/a]</t>
  </si>
  <si>
    <t>Using depreciation [EUR/a]</t>
  </si>
  <si>
    <t>In cash flow [EUR]</t>
  </si>
  <si>
    <t>Key qualitative benefits in different options</t>
  </si>
  <si>
    <t>Viability comparisons of the options</t>
  </si>
  <si>
    <t>[The option is viable if the present values of the net returns are greater than the investment. In the annuity method, the current acquisition cost is divided into equal annual capital costs, ie annuities, to the holding period. The option is viable when the annual net return is equal to the cost of managing the capital. If the investment has a residual value, its present value must be deducted from the acquisition cost. The comparisons below also deduct annual operating costs from annual monetary benefits. The investment is not discounted in the ROI calculation below.]</t>
  </si>
  <si>
    <t>Initial values</t>
  </si>
  <si>
    <t>Investment</t>
  </si>
  <si>
    <t>Investment holding period</t>
  </si>
  <si>
    <t>Annual operating cost (avg.)</t>
  </si>
  <si>
    <t>Annual monetary benefits (avg.)</t>
  </si>
  <si>
    <t>Sensitivity analysis</t>
  </si>
  <si>
    <t>Change the parameters with the sliders</t>
  </si>
  <si>
    <t>NET PRESENT VALUE INDICATES VIABILITY IF IT IS POSITIVE</t>
  </si>
  <si>
    <t>Sum of net benefits present values</t>
  </si>
  <si>
    <t>Viability (NPV)</t>
  </si>
  <si>
    <t>Viability (annuity)</t>
  </si>
  <si>
    <t>ANNUITY INDICATES VIABILITY IF IT IS LESS THAN ANNUAL INCOME/BENEFIT</t>
  </si>
  <si>
    <t>Investment annuity</t>
  </si>
  <si>
    <t>All annual net benefits</t>
  </si>
  <si>
    <t>Discounted return on investment (disc ROI)</t>
  </si>
  <si>
    <t>PAYBACK TIME, INTERNAL RATE OF RETURN AND RETURN ON INVESTMENT</t>
  </si>
  <si>
    <t>Costs-benefits breakdown: Option 1</t>
  </si>
  <si>
    <t>[Break down the monetary costs into key groups for both the implementation and post-implementation of program / project. Break down the direct financial savings generated during post-implementation operation into groups similar to the cost breakdown of the program / project. Also assess the indirect monetary benefits in primary services, if any. In addition, assess the indirect financial impact on customers' operations or on the customer base as a whole or on the use of the city's services as a whole. Use the table breakdown for reference. Edit the cost/benefit titles as needed, but do not add or change rows.]</t>
  </si>
  <si>
    <t>Investments in cash flow [EUR/a]</t>
  </si>
  <si>
    <t>Primary activies costs</t>
  </si>
  <si>
    <t>INVESTMENT COSTS</t>
  </si>
  <si>
    <t>Consulting costs in primary activities</t>
  </si>
  <si>
    <t>Purchase of equipment and materials</t>
  </si>
  <si>
    <t>Other purchase</t>
  </si>
  <si>
    <t>Cyber security</t>
  </si>
  <si>
    <t>Digital infrastucture (network, data center, Iaas, PaaS)</t>
  </si>
  <si>
    <t>Other digital equipment</t>
  </si>
  <si>
    <t>Digitaaliset applications and software (information systems, developer tools)</t>
  </si>
  <si>
    <t>Software development (consulting, …)</t>
  </si>
  <si>
    <t>Supportive and deployment costs</t>
  </si>
  <si>
    <t>Service desk and other similar supporting costs</t>
  </si>
  <si>
    <t>Learning and education</t>
  </si>
  <si>
    <t>Administrative costs (e.g. project management)</t>
  </si>
  <si>
    <t>Investments summary (INV cashflow)</t>
  </si>
  <si>
    <t>Discounted</t>
  </si>
  <si>
    <t>Residual value (present value)</t>
  </si>
  <si>
    <t>Investments using depreciation [EUR/a]</t>
  </si>
  <si>
    <t>Use costs [EUR/a]</t>
  </si>
  <si>
    <t>Primary activities use costs</t>
  </si>
  <si>
    <t>Annual material and equipment costs in primary activities (due to investment)</t>
  </si>
  <si>
    <t>Post-implementation consulting in primary activities</t>
  </si>
  <si>
    <t>Digital and tech capability use costs</t>
  </si>
  <si>
    <t>Cyber security use costs</t>
  </si>
  <si>
    <t>Digital infrastructure use costs</t>
  </si>
  <si>
    <t>Digital workding environment use costs</t>
  </si>
  <si>
    <t>Other digital equipment use costs</t>
  </si>
  <si>
    <t>Digital app. and SW running development (consulting)</t>
  </si>
  <si>
    <t>Supportive use costs</t>
  </si>
  <si>
    <t>Use costs summary (USE)</t>
  </si>
  <si>
    <t>Investments summary (INV depreciated)</t>
  </si>
  <si>
    <t>Change costs summary in cash flow</t>
  </si>
  <si>
    <t>Change costs summary using depreciations</t>
  </si>
  <si>
    <t>Income and other monetary benefits [EUR/a]</t>
  </si>
  <si>
    <t>Direct income</t>
  </si>
  <si>
    <t>Revenue</t>
  </si>
  <si>
    <t>Rental income</t>
  </si>
  <si>
    <t>Other income</t>
  </si>
  <si>
    <t>Service payments</t>
  </si>
  <si>
    <t>Operating savings</t>
  </si>
  <si>
    <t>Personnel and overhead savings in primary activities</t>
  </si>
  <si>
    <t>Other personnel and overhead costs</t>
  </si>
  <si>
    <t>Personnel and overhead costs in primary activities</t>
  </si>
  <si>
    <t>Personnel and overhead costs in digital activities</t>
  </si>
  <si>
    <t>Savings on material procurement in primary activities</t>
  </si>
  <si>
    <t>Consulting savings in primary activities</t>
  </si>
  <si>
    <t>Operating process efficiency assumptions</t>
  </si>
  <si>
    <t>Operating unit cost savings (total)</t>
  </si>
  <si>
    <t>Error and change management savings</t>
  </si>
  <si>
    <t>Savings in customer journey</t>
  </si>
  <si>
    <t>Operational savings in digital and tech activities</t>
  </si>
  <si>
    <t>Personnel and overhead savings in digital activities</t>
  </si>
  <si>
    <t>Digital infrastructure savings (network, data center, Iaas, PaaS)</t>
  </si>
  <si>
    <t>Digital work environment savings (workstation, printing, phone)</t>
  </si>
  <si>
    <t>Digital work environment (workstation, printing, phone)</t>
  </si>
  <si>
    <t>Other digital equipment savings</t>
  </si>
  <si>
    <t>Digital applications and software use costs (maintenance licenses, rent, etc.)</t>
  </si>
  <si>
    <t>Retiring digital applications and SW running development costs</t>
  </si>
  <si>
    <t>Retiring digital appl. and SW maintenance cost savings (maintenance licenses, rent, etc.)</t>
  </si>
  <si>
    <t>Digital and tech capability efficiency assumptions</t>
  </si>
  <si>
    <t>Unit cost savings in digital service processes (total)</t>
  </si>
  <si>
    <t>Error and change management savings in digital service processes</t>
  </si>
  <si>
    <t>Savings in digital customer journey</t>
  </si>
  <si>
    <t>Other supporting activities savings</t>
  </si>
  <si>
    <t>Personnel and overhead savings in other supporting activities</t>
  </si>
  <si>
    <t>Savings in learning and education</t>
  </si>
  <si>
    <t>Benefits and income summary</t>
  </si>
  <si>
    <t>Monetary customer impact [EUR/a]</t>
  </si>
  <si>
    <t>Impacts in public service need (savings)</t>
  </si>
  <si>
    <t>City of Helsinki services</t>
  </si>
  <si>
    <t>Other public services</t>
  </si>
  <si>
    <t>Impacts in labor market</t>
  </si>
  <si>
    <t>In Helsinki</t>
  </si>
  <si>
    <t>In the rest of capital area</t>
  </si>
  <si>
    <t>In the rest of Finland</t>
  </si>
  <si>
    <t>Impacts in business environment</t>
  </si>
  <si>
    <t>Impacts in tourism</t>
  </si>
  <si>
    <t>Impacts summary</t>
  </si>
  <si>
    <t>Income and other monetary benefits total</t>
  </si>
  <si>
    <t>Discounted with initial calculation interest rate</t>
  </si>
  <si>
    <t>Discounted with analysed calculation interest rate</t>
  </si>
  <si>
    <t>Benefits - use costs</t>
  </si>
  <si>
    <t>Monetary cost-benefit total</t>
  </si>
  <si>
    <t>Monetary cost-benefit total (present value)</t>
  </si>
  <si>
    <t>With initial assumptions</t>
  </si>
  <si>
    <t>With analysed parameters</t>
  </si>
  <si>
    <t>Source data</t>
  </si>
  <si>
    <t>TOT</t>
  </si>
  <si>
    <t>(sources and assumptions)</t>
  </si>
  <si>
    <t>Primary benefits</t>
  </si>
  <si>
    <t>QUALITATIVE BENEFITS</t>
  </si>
  <si>
    <t>Benefit name</t>
  </si>
  <si>
    <t>Benefit description</t>
  </si>
  <si>
    <t>Additional benefits</t>
  </si>
  <si>
    <t>RISKS</t>
  </si>
  <si>
    <t>Primary risks</t>
  </si>
  <si>
    <t>Risk name</t>
  </si>
  <si>
    <t>Risk description</t>
  </si>
  <si>
    <t>Additional risks</t>
  </si>
  <si>
    <t>Costs-benefits breakdown: Option 2</t>
  </si>
  <si>
    <t>Costs-benefits breakdown: Option 3</t>
  </si>
  <si>
    <t>The sheet enables the sensitivity analysis of the options</t>
  </si>
  <si>
    <t>Also the residual values of the investment in different scenarios are determined in option sheets</t>
  </si>
  <si>
    <t>VIABILITY COMPARISON PRINCIPLES AND ITS FUNCTIONALITY</t>
  </si>
  <si>
    <t>The viability of the options is examined on the Viability comparison sheet using:</t>
  </si>
  <si>
    <t>The sheet allows you to adjust the initial calculation interest rate used in converting future values to present value.</t>
  </si>
  <si>
    <t>Digital and tech activities costs</t>
  </si>
  <si>
    <t>Accumulative cost-benefit in cash flow (and break-even)</t>
  </si>
  <si>
    <t>Annual cost-benefit</t>
  </si>
  <si>
    <t>Accumulative cost-benefit using depreciation (and break-even)</t>
  </si>
  <si>
    <t>Payback time (with avg. net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</si>
</sst>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0&quot; v&quot;"/>
    <numFmt numFmtId="165" formatCode="#,##0.00\ &quot;€&quot;"/>
    <numFmt numFmtId="166" formatCode="0&quot; y&quot;"/>
  </numFmts>
  <fonts count="1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2"/>
      <color rgb="FF000000"/>
      <name val="Arial Black"/>
      <family val="2"/>
    </font>
    <font>
      <sz val="9"/>
      <color rgb="FF000000"/>
      <name val="Arial"/>
      <family val="2"/>
    </font>
    <font>
      <sz val="8"/>
      <color theme="1"/>
      <name val="Calibri"/>
      <family val="2"/>
      <scheme val="minor"/>
    </font>
    <font>
      <b/>
      <sz val="11"/>
      <color rgb="FFFF0000"/>
      <name val="Calibri"/>
      <family val="2"/>
      <scheme val="minor"/>
    </font>
    <font>
      <b/>
      <sz val="16"/>
      <color theme="0"/>
      <name val="Calibri"/>
      <family val="2"/>
      <scheme val="minor"/>
    </font>
    <font>
      <b/>
      <sz val="11"/>
      <color theme="0" tint="-0.14999847407452621"/>
      <name val="Calibri"/>
      <family val="2"/>
      <scheme val="minor"/>
    </font>
    <font>
      <sz val="11"/>
      <name val="Calibri"/>
      <family val="2"/>
      <scheme val="minor"/>
    </font>
    <font>
      <sz val="11"/>
      <color theme="7" tint="0.79998168889431442"/>
      <name val="Calibri"/>
      <family val="2"/>
      <scheme val="minor"/>
    </font>
    <font>
      <i/>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cellStyleXfs>
  <cellXfs count="127">
    <xf numFmtId="0" fontId="0" fillId="0" borderId="0" xfId="0"/>
    <xf numFmtId="0" fontId="0" fillId="4" borderId="1" xfId="0" applyFill="1" applyBorder="1"/>
    <xf numFmtId="0" fontId="0" fillId="0" borderId="1" xfId="0" applyBorder="1" applyProtection="1">
      <protection locked="0"/>
    </xf>
    <xf numFmtId="0" fontId="0" fillId="0" borderId="3" xfId="0" applyBorder="1" applyProtection="1">
      <protection locked="0"/>
    </xf>
    <xf numFmtId="0" fontId="0" fillId="0" borderId="0" xfId="0" applyBorder="1" applyProtection="1">
      <protection locked="0"/>
    </xf>
    <xf numFmtId="0" fontId="4" fillId="0" borderId="0" xfId="0" applyFont="1" applyAlignment="1">
      <alignment vertical="top"/>
    </xf>
    <xf numFmtId="0" fontId="3" fillId="3" borderId="0" xfId="0" applyFont="1" applyFill="1"/>
    <xf numFmtId="0" fontId="0" fillId="2" borderId="0" xfId="0" applyFill="1"/>
    <xf numFmtId="0" fontId="0" fillId="2" borderId="0" xfId="0" applyFill="1" applyBorder="1"/>
    <xf numFmtId="0" fontId="1" fillId="3" borderId="12" xfId="0" applyFont="1" applyFill="1" applyBorder="1"/>
    <xf numFmtId="0" fontId="3" fillId="3" borderId="12" xfId="0" applyFont="1" applyFill="1" applyBorder="1"/>
    <xf numFmtId="0" fontId="3" fillId="3" borderId="13" xfId="0" applyFont="1" applyFill="1" applyBorder="1"/>
    <xf numFmtId="0" fontId="2" fillId="2" borderId="14" xfId="0" applyFont="1" applyFill="1" applyBorder="1"/>
    <xf numFmtId="0" fontId="0" fillId="2" borderId="15" xfId="0" applyFill="1" applyBorder="1"/>
    <xf numFmtId="0" fontId="0" fillId="2" borderId="14" xfId="0" applyFill="1" applyBorder="1"/>
    <xf numFmtId="0" fontId="2" fillId="2" borderId="0" xfId="0" applyFont="1" applyFill="1" applyBorder="1"/>
    <xf numFmtId="0" fontId="0" fillId="2" borderId="16" xfId="0" applyFill="1" applyBorder="1"/>
    <xf numFmtId="0" fontId="0" fillId="2" borderId="17" xfId="0" applyFill="1" applyBorder="1"/>
    <xf numFmtId="0" fontId="0" fillId="2" borderId="18" xfId="0" applyFill="1" applyBorder="1"/>
    <xf numFmtId="0" fontId="2" fillId="2" borderId="11" xfId="0" applyFont="1" applyFill="1" applyBorder="1"/>
    <xf numFmtId="0" fontId="0" fillId="2" borderId="12" xfId="0" applyFill="1" applyBorder="1"/>
    <xf numFmtId="0" fontId="0" fillId="2" borderId="13" xfId="0" applyFill="1" applyBorder="1"/>
    <xf numFmtId="0" fontId="2" fillId="2" borderId="19" xfId="0" applyFont="1" applyFill="1" applyBorder="1"/>
    <xf numFmtId="0" fontId="0" fillId="2" borderId="20" xfId="0" applyFill="1" applyBorder="1"/>
    <xf numFmtId="0" fontId="0" fillId="2" borderId="21" xfId="0" applyFill="1" applyBorder="1"/>
    <xf numFmtId="0" fontId="3" fillId="3" borderId="22" xfId="0" applyFont="1" applyFill="1" applyBorder="1"/>
    <xf numFmtId="0" fontId="0" fillId="2" borderId="24" xfId="0" applyFill="1" applyBorder="1"/>
    <xf numFmtId="0" fontId="0" fillId="2" borderId="25" xfId="0" applyFill="1" applyBorder="1"/>
    <xf numFmtId="0" fontId="0" fillId="2" borderId="26" xfId="0" applyFill="1" applyBorder="1"/>
    <xf numFmtId="0" fontId="6" fillId="2" borderId="23" xfId="0" applyFont="1" applyFill="1" applyBorder="1"/>
    <xf numFmtId="0" fontId="0" fillId="2" borderId="22" xfId="0" applyFill="1" applyBorder="1"/>
    <xf numFmtId="0" fontId="0" fillId="4" borderId="27" xfId="0" applyFill="1" applyBorder="1"/>
    <xf numFmtId="0" fontId="2" fillId="4" borderId="2" xfId="0" applyFont="1" applyFill="1" applyBorder="1"/>
    <xf numFmtId="0" fontId="2" fillId="2" borderId="20" xfId="0" applyFont="1" applyFill="1" applyBorder="1"/>
    <xf numFmtId="0" fontId="7" fillId="0" borderId="0" xfId="0" applyFont="1"/>
    <xf numFmtId="0" fontId="0" fillId="2" borderId="0" xfId="0" applyFont="1" applyFill="1" applyBorder="1"/>
    <xf numFmtId="0" fontId="2" fillId="2" borderId="12" xfId="0" applyFont="1" applyFill="1" applyBorder="1"/>
    <xf numFmtId="0" fontId="1" fillId="3" borderId="11" xfId="0" applyFont="1" applyFill="1" applyBorder="1"/>
    <xf numFmtId="0" fontId="2" fillId="2" borderId="17" xfId="0" applyFont="1" applyFill="1" applyBorder="1"/>
    <xf numFmtId="0" fontId="0" fillId="2" borderId="11" xfId="0" applyFill="1" applyBorder="1"/>
    <xf numFmtId="0" fontId="2" fillId="2" borderId="16" xfId="0" applyFont="1" applyFill="1" applyBorder="1"/>
    <xf numFmtId="0" fontId="5" fillId="0" borderId="0" xfId="0" applyFont="1" applyAlignment="1">
      <alignment vertical="top" wrapText="1"/>
    </xf>
    <xf numFmtId="0" fontId="0" fillId="0" borderId="0" xfId="0" applyBorder="1"/>
    <xf numFmtId="0" fontId="0" fillId="2" borderId="23" xfId="0" applyFill="1" applyBorder="1"/>
    <xf numFmtId="0" fontId="2" fillId="4" borderId="1" xfId="0" applyFont="1" applyFill="1" applyBorder="1"/>
    <xf numFmtId="0" fontId="0" fillId="0" borderId="27" xfId="0" applyBorder="1" applyProtection="1">
      <protection locked="0"/>
    </xf>
    <xf numFmtId="0" fontId="2" fillId="0" borderId="1" xfId="0" applyFont="1" applyFill="1" applyBorder="1" applyProtection="1">
      <protection locked="0"/>
    </xf>
    <xf numFmtId="8" fontId="0" fillId="0" borderId="1" xfId="0" applyNumberFormat="1" applyBorder="1" applyProtection="1">
      <protection locked="0"/>
    </xf>
    <xf numFmtId="9" fontId="0" fillId="6" borderId="1" xfId="0" applyNumberFormat="1" applyFill="1" applyBorder="1" applyProtection="1">
      <protection locked="0"/>
    </xf>
    <xf numFmtId="8" fontId="0" fillId="4" borderId="1" xfId="0" applyNumberFormat="1" applyFill="1" applyBorder="1"/>
    <xf numFmtId="164" fontId="0" fillId="4" borderId="1" xfId="0" applyNumberFormat="1" applyFill="1" applyBorder="1"/>
    <xf numFmtId="9" fontId="0" fillId="4" borderId="1" xfId="0" applyNumberFormat="1" applyFill="1" applyBorder="1"/>
    <xf numFmtId="8" fontId="0" fillId="4" borderId="28" xfId="0" applyNumberFormat="1" applyFill="1" applyBorder="1"/>
    <xf numFmtId="0" fontId="0" fillId="2" borderId="0" xfId="0" applyFill="1" applyBorder="1" applyProtection="1">
      <protection locked="0"/>
    </xf>
    <xf numFmtId="0" fontId="9" fillId="2" borderId="14" xfId="0" applyFont="1" applyFill="1" applyBorder="1"/>
    <xf numFmtId="0" fontId="3" fillId="0" borderId="0" xfId="0" applyFont="1"/>
    <xf numFmtId="9" fontId="0" fillId="2" borderId="0" xfId="0" applyNumberFormat="1" applyFill="1" applyBorder="1"/>
    <xf numFmtId="0" fontId="0" fillId="0" borderId="0" xfId="0" applyProtection="1">
      <protection locked="0"/>
    </xf>
    <xf numFmtId="2" fontId="2" fillId="2" borderId="20" xfId="0" applyNumberFormat="1" applyFont="1" applyFill="1" applyBorder="1"/>
    <xf numFmtId="10" fontId="0" fillId="4" borderId="1" xfId="0" applyNumberFormat="1" applyFill="1" applyBorder="1"/>
    <xf numFmtId="0" fontId="10" fillId="0" borderId="0" xfId="0" applyFont="1"/>
    <xf numFmtId="0" fontId="10" fillId="0" borderId="0" xfId="0" applyNumberFormat="1" applyFont="1"/>
    <xf numFmtId="0" fontId="3" fillId="0" borderId="0" xfId="0" applyNumberFormat="1" applyFont="1" applyFill="1" applyBorder="1"/>
    <xf numFmtId="0" fontId="3" fillId="0" borderId="0" xfId="0" applyNumberFormat="1" applyFont="1"/>
    <xf numFmtId="0" fontId="3" fillId="0" borderId="0" xfId="0" applyNumberFormat="1" applyFont="1" applyFill="1"/>
    <xf numFmtId="0" fontId="0" fillId="0" borderId="0" xfId="0" applyProtection="1"/>
    <xf numFmtId="0" fontId="8" fillId="5" borderId="0" xfId="0" applyFont="1" applyFill="1" applyProtection="1"/>
    <xf numFmtId="0" fontId="0" fillId="5" borderId="0" xfId="0" applyFill="1" applyProtection="1"/>
    <xf numFmtId="0" fontId="0" fillId="2" borderId="0" xfId="0" applyFill="1" applyProtection="1"/>
    <xf numFmtId="0" fontId="4" fillId="0" borderId="0" xfId="0" applyFont="1" applyProtection="1"/>
    <xf numFmtId="0" fontId="2" fillId="2" borderId="7" xfId="0" applyFont="1" applyFill="1" applyBorder="1" applyProtection="1"/>
    <xf numFmtId="0" fontId="2" fillId="2" borderId="8" xfId="0" applyFont="1" applyFill="1" applyBorder="1" applyProtection="1"/>
    <xf numFmtId="0" fontId="0" fillId="4" borderId="2" xfId="0" applyFill="1" applyBorder="1" applyProtection="1"/>
    <xf numFmtId="0" fontId="0" fillId="4" borderId="1" xfId="0" applyFill="1" applyBorder="1" applyProtection="1"/>
    <xf numFmtId="0" fontId="3" fillId="5" borderId="0" xfId="0" applyFont="1" applyFill="1" applyProtection="1"/>
    <xf numFmtId="0" fontId="1" fillId="3" borderId="9" xfId="0" applyFont="1" applyFill="1" applyBorder="1" applyAlignment="1" applyProtection="1">
      <alignment horizontal="right"/>
    </xf>
    <xf numFmtId="0" fontId="3" fillId="3" borderId="10" xfId="0" applyFont="1" applyFill="1" applyBorder="1" applyProtection="1"/>
    <xf numFmtId="0" fontId="2" fillId="2" borderId="4" xfId="0" applyFont="1" applyFill="1" applyBorder="1" applyProtection="1"/>
    <xf numFmtId="0" fontId="0" fillId="2" borderId="5" xfId="0" applyFill="1" applyBorder="1" applyProtection="1"/>
    <xf numFmtId="0" fontId="0" fillId="2" borderId="6" xfId="0" applyFill="1" applyBorder="1" applyProtection="1"/>
    <xf numFmtId="0" fontId="2" fillId="2" borderId="5" xfId="0" applyFont="1" applyFill="1" applyBorder="1" applyProtection="1"/>
    <xf numFmtId="0" fontId="2" fillId="2" borderId="6" xfId="0" applyFont="1" applyFill="1" applyBorder="1" applyProtection="1"/>
    <xf numFmtId="2" fontId="0" fillId="4" borderId="1" xfId="0" applyNumberFormat="1" applyFont="1" applyFill="1" applyBorder="1"/>
    <xf numFmtId="0" fontId="2" fillId="4" borderId="29" xfId="0" applyFont="1" applyFill="1" applyBorder="1"/>
    <xf numFmtId="0" fontId="3" fillId="3" borderId="12" xfId="0" applyFont="1" applyFill="1" applyBorder="1" applyProtection="1"/>
    <xf numFmtId="0" fontId="11" fillId="3" borderId="12" xfId="0" applyFont="1" applyFill="1" applyBorder="1" applyProtection="1">
      <protection locked="0"/>
    </xf>
    <xf numFmtId="4" fontId="0" fillId="4" borderId="2" xfId="0" applyNumberFormat="1" applyFill="1" applyBorder="1" applyProtection="1"/>
    <xf numFmtId="0" fontId="0" fillId="0" borderId="0" xfId="0" applyAlignment="1">
      <alignment vertical="center"/>
    </xf>
    <xf numFmtId="0" fontId="4" fillId="0" borderId="0" xfId="0" applyFont="1" applyAlignment="1" applyProtection="1">
      <alignment vertical="center"/>
    </xf>
    <xf numFmtId="0" fontId="0" fillId="5" borderId="0" xfId="0" applyFill="1" applyAlignment="1">
      <alignment vertical="center"/>
    </xf>
    <xf numFmtId="0" fontId="2" fillId="0" borderId="0" xfId="0" applyFont="1" applyAlignment="1">
      <alignment vertical="center"/>
    </xf>
    <xf numFmtId="0" fontId="2" fillId="5" borderId="0" xfId="0" applyFont="1" applyFill="1" applyAlignment="1">
      <alignment vertical="center"/>
    </xf>
    <xf numFmtId="0" fontId="0" fillId="0" borderId="0" xfId="0" applyFont="1" applyAlignment="1">
      <alignment vertical="center"/>
    </xf>
    <xf numFmtId="0" fontId="0" fillId="5" borderId="0" xfId="0" applyFont="1" applyFill="1" applyAlignment="1">
      <alignment vertical="center"/>
    </xf>
    <xf numFmtId="0" fontId="2" fillId="4" borderId="0" xfId="0" applyFont="1" applyFill="1" applyAlignment="1">
      <alignment vertical="center"/>
    </xf>
    <xf numFmtId="0" fontId="0" fillId="4" borderId="0" xfId="0" applyFont="1" applyFill="1" applyAlignment="1">
      <alignment vertical="center"/>
    </xf>
    <xf numFmtId="0" fontId="0" fillId="4" borderId="0" xfId="0" applyFill="1" applyAlignment="1">
      <alignment vertical="center"/>
    </xf>
    <xf numFmtId="0" fontId="12" fillId="4" borderId="0" xfId="0" applyFont="1" applyFill="1" applyAlignment="1">
      <alignment vertical="center"/>
    </xf>
    <xf numFmtId="0" fontId="0" fillId="4" borderId="0" xfId="0" applyFill="1" applyBorder="1" applyAlignment="1">
      <alignment vertical="center"/>
    </xf>
    <xf numFmtId="0" fontId="0" fillId="4" borderId="0" xfId="0" applyFill="1" applyAlignment="1">
      <alignment horizontal="left" vertical="center"/>
    </xf>
    <xf numFmtId="0" fontId="0" fillId="4" borderId="9" xfId="0" applyFill="1" applyBorder="1" applyAlignment="1">
      <alignment vertical="center"/>
    </xf>
    <xf numFmtId="0" fontId="0" fillId="4" borderId="10" xfId="0" applyFill="1" applyBorder="1" applyAlignment="1">
      <alignment vertical="center"/>
    </xf>
    <xf numFmtId="0" fontId="0" fillId="4" borderId="30" xfId="0" applyFill="1" applyBorder="1" applyAlignment="1">
      <alignment vertical="center"/>
    </xf>
    <xf numFmtId="0" fontId="0" fillId="4" borderId="31" xfId="0" applyFill="1" applyBorder="1" applyAlignment="1">
      <alignment vertical="center"/>
    </xf>
    <xf numFmtId="0" fontId="0" fillId="4" borderId="32"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33" xfId="0" applyFill="1" applyBorder="1" applyAlignment="1">
      <alignment vertical="center"/>
    </xf>
    <xf numFmtId="2" fontId="0" fillId="2" borderId="34" xfId="0" applyNumberFormat="1" applyFont="1" applyFill="1" applyBorder="1" applyAlignment="1">
      <alignment horizontal="right"/>
    </xf>
    <xf numFmtId="165" fontId="2" fillId="2" borderId="35" xfId="0" applyNumberFormat="1" applyFont="1" applyFill="1" applyBorder="1"/>
    <xf numFmtId="2" fontId="0" fillId="2" borderId="29" xfId="0" applyNumberFormat="1" applyFont="1" applyFill="1" applyBorder="1" applyAlignment="1">
      <alignment horizontal="right"/>
    </xf>
    <xf numFmtId="0" fontId="10" fillId="2" borderId="34" xfId="0" applyFont="1" applyFill="1" applyBorder="1" applyAlignment="1">
      <alignment horizontal="right"/>
    </xf>
    <xf numFmtId="0" fontId="2" fillId="2" borderId="29" xfId="0" applyFont="1" applyFill="1" applyBorder="1"/>
    <xf numFmtId="0" fontId="0" fillId="2" borderId="34" xfId="0" applyFont="1" applyFill="1" applyBorder="1" applyAlignment="1">
      <alignment horizontal="right" indent="2"/>
    </xf>
    <xf numFmtId="0" fontId="2" fillId="2" borderId="35" xfId="0" applyFont="1" applyFill="1" applyBorder="1"/>
    <xf numFmtId="2" fontId="2" fillId="2" borderId="36" xfId="0" applyNumberFormat="1" applyFont="1" applyFill="1" applyBorder="1"/>
    <xf numFmtId="165" fontId="2" fillId="2" borderId="37" xfId="0" applyNumberFormat="1" applyFont="1" applyFill="1" applyBorder="1"/>
    <xf numFmtId="2" fontId="2" fillId="2" borderId="32" xfId="0" applyNumberFormat="1" applyFont="1" applyFill="1" applyBorder="1"/>
    <xf numFmtId="166" fontId="0" fillId="0" borderId="1" xfId="0" applyNumberFormat="1" applyBorder="1" applyProtection="1">
      <protection locked="0"/>
    </xf>
    <xf numFmtId="166" fontId="0" fillId="4" borderId="1" xfId="0" applyNumberFormat="1" applyFill="1" applyBorder="1"/>
    <xf numFmtId="0" fontId="0" fillId="4" borderId="0" xfId="0" applyFill="1" applyAlignment="1">
      <alignment horizontal="left" vertical="center" wrapText="1"/>
    </xf>
    <xf numFmtId="0" fontId="5" fillId="0" borderId="0" xfId="0" applyFont="1" applyAlignment="1" applyProtection="1">
      <alignment horizontal="left" vertical="top" wrapText="1"/>
    </xf>
    <xf numFmtId="0" fontId="5" fillId="0" borderId="0" xfId="0" applyFont="1" applyAlignment="1">
      <alignment horizontal="left" vertical="top" wrapText="1"/>
    </xf>
    <xf numFmtId="0" fontId="1" fillId="3" borderId="11" xfId="0" applyFont="1" applyFill="1" applyBorder="1" applyAlignment="1">
      <alignment horizontal="left"/>
    </xf>
    <xf numFmtId="0" fontId="1" fillId="3" borderId="12" xfId="0" applyFont="1" applyFill="1" applyBorder="1" applyAlignment="1">
      <alignment horizontal="left"/>
    </xf>
    <xf numFmtId="0" fontId="1" fillId="3" borderId="0" xfId="0" applyFont="1" applyFill="1" applyAlignment="1">
      <alignment horizontal="center"/>
    </xf>
    <xf numFmtId="9" fontId="0" fillId="4" borderId="1" xfId="0" applyNumberFormat="1" applyFill="1" applyBorder="1" applyProtection="1"/>
  </cellXfs>
  <cellStyles count="1">
    <cellStyle name="Normaali" xfId="0" builtinId="0"/>
  </cellStyles>
  <dxfs count="3">
    <dxf>
      <fill>
        <patternFill>
          <bgColor theme="9" tint="0.79998168889431442"/>
        </patternFill>
      </fill>
    </dxf>
    <dxf>
      <fill>
        <patternFill>
          <bgColor rgb="FFFFC5C5"/>
        </patternFill>
      </fill>
    </dxf>
    <dxf>
      <fill>
        <patternFill>
          <bgColor rgb="FFFFC5C5"/>
        </patternFill>
      </fill>
    </dxf>
  </dxfs>
  <tableStyles count="0" defaultTableStyle="TableStyleMedium2" defaultPivotStyle="PivotStyleLight16"/>
  <colors>
    <mruColors>
      <color rgb="FFFFC5C5"/>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fi-FI" b="1"/>
              <a:t>Payback in cash flow</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fi-FI"/>
        </a:p>
      </c:txPr>
    </c:title>
    <c:autoTitleDeleted val="0"/>
    <c:plotArea>
      <c:layout>
        <c:manualLayout>
          <c:layoutTarget val="inner"/>
          <c:xMode val="edge"/>
          <c:yMode val="edge"/>
          <c:x val="8.1435713807235813E-2"/>
          <c:y val="0.19676392572944298"/>
          <c:w val="0.8814413163551772"/>
          <c:h val="0.62352722487938339"/>
        </c:manualLayout>
      </c:layout>
      <c:lineChart>
        <c:grouping val="standard"/>
        <c:varyColors val="0"/>
        <c:ser>
          <c:idx val="0"/>
          <c:order val="0"/>
          <c:tx>
            <c:strRef>
              <c:f>Summary!$C$7</c:f>
              <c:strCache>
                <c:ptCount val="1"/>
                <c:pt idx="0">
                  <c:v>Option 1</c:v>
                </c:pt>
              </c:strCache>
            </c:strRef>
          </c:tx>
          <c:spPr>
            <a:ln w="22225" cap="rnd" cmpd="sng" algn="ctr">
              <a:solidFill>
                <a:schemeClr val="accent1"/>
              </a:solidFill>
              <a:round/>
            </a:ln>
            <a:effectLst/>
          </c:spPr>
          <c:marker>
            <c:symbol val="none"/>
          </c:marker>
          <c:cat>
            <c:numRef>
              <c:f>Summary!$D$6:$N$6</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Summary!$D$7:$N$7</c:f>
              <c:numCache>
                <c:formatCode>#,##0.00</c:formatCode>
                <c:ptCount val="11"/>
                <c:pt idx="0">
                  <c:v>-2</c:v>
                </c:pt>
                <c:pt idx="1">
                  <c:v>-8</c:v>
                </c:pt>
                <c:pt idx="2">
                  <c:v>-8</c:v>
                </c:pt>
                <c:pt idx="3">
                  <c:v>-6</c:v>
                </c:pt>
                <c:pt idx="4">
                  <c:v>-5</c:v>
                </c:pt>
                <c:pt idx="5">
                  <c:v>-4</c:v>
                </c:pt>
                <c:pt idx="6">
                  <c:v>-3</c:v>
                </c:pt>
                <c:pt idx="7">
                  <c:v>-2</c:v>
                </c:pt>
                <c:pt idx="8">
                  <c:v>-1</c:v>
                </c:pt>
                <c:pt idx="9">
                  <c:v>0</c:v>
                </c:pt>
                <c:pt idx="10">
                  <c:v>1</c:v>
                </c:pt>
              </c:numCache>
            </c:numRef>
          </c:val>
          <c:smooth val="0"/>
          <c:extLst>
            <c:ext xmlns:c16="http://schemas.microsoft.com/office/drawing/2014/chart" uri="{C3380CC4-5D6E-409C-BE32-E72D297353CC}">
              <c16:uniqueId val="{00000000-1297-4090-AC1A-A1C10CFE9A61}"/>
            </c:ext>
          </c:extLst>
        </c:ser>
        <c:ser>
          <c:idx val="1"/>
          <c:order val="1"/>
          <c:tx>
            <c:strRef>
              <c:f>Summary!$C$8</c:f>
              <c:strCache>
                <c:ptCount val="1"/>
                <c:pt idx="0">
                  <c:v>Option 2</c:v>
                </c:pt>
              </c:strCache>
            </c:strRef>
          </c:tx>
          <c:spPr>
            <a:ln w="22225" cap="rnd" cmpd="sng" algn="ctr">
              <a:solidFill>
                <a:schemeClr val="accent2"/>
              </a:solidFill>
              <a:round/>
            </a:ln>
            <a:effectLst/>
          </c:spPr>
          <c:marker>
            <c:symbol val="none"/>
          </c:marker>
          <c:cat>
            <c:numRef>
              <c:f>Summary!$D$6:$N$6</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Summary!$D$8:$N$8</c:f>
              <c:numCache>
                <c:formatCode>#,##0.00</c:formatCode>
                <c:ptCount val="11"/>
                <c:pt idx="0">
                  <c:v>-2</c:v>
                </c:pt>
                <c:pt idx="1">
                  <c:v>-8</c:v>
                </c:pt>
                <c:pt idx="2">
                  <c:v>-7.5</c:v>
                </c:pt>
                <c:pt idx="3">
                  <c:v>-5</c:v>
                </c:pt>
                <c:pt idx="4">
                  <c:v>-3.5</c:v>
                </c:pt>
                <c:pt idx="5">
                  <c:v>-2</c:v>
                </c:pt>
                <c:pt idx="6">
                  <c:v>-0.5</c:v>
                </c:pt>
                <c:pt idx="7">
                  <c:v>1</c:v>
                </c:pt>
                <c:pt idx="8">
                  <c:v>2.5</c:v>
                </c:pt>
                <c:pt idx="9">
                  <c:v>4</c:v>
                </c:pt>
                <c:pt idx="10">
                  <c:v>5.5</c:v>
                </c:pt>
              </c:numCache>
            </c:numRef>
          </c:val>
          <c:smooth val="0"/>
          <c:extLst>
            <c:ext xmlns:c16="http://schemas.microsoft.com/office/drawing/2014/chart" uri="{C3380CC4-5D6E-409C-BE32-E72D297353CC}">
              <c16:uniqueId val="{00000001-1297-4090-AC1A-A1C10CFE9A61}"/>
            </c:ext>
          </c:extLst>
        </c:ser>
        <c:ser>
          <c:idx val="2"/>
          <c:order val="2"/>
          <c:tx>
            <c:strRef>
              <c:f>Summary!$C$9</c:f>
              <c:strCache>
                <c:ptCount val="1"/>
                <c:pt idx="0">
                  <c:v>Option 3</c:v>
                </c:pt>
              </c:strCache>
            </c:strRef>
          </c:tx>
          <c:spPr>
            <a:ln w="22225" cap="rnd" cmpd="sng" algn="ctr">
              <a:solidFill>
                <a:schemeClr val="accent3"/>
              </a:solidFill>
              <a:round/>
            </a:ln>
            <a:effectLst/>
          </c:spPr>
          <c:marker>
            <c:symbol val="none"/>
          </c:marker>
          <c:cat>
            <c:numRef>
              <c:f>Summary!$D$6:$N$6</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Summary!$D$9:$N$9</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1297-4090-AC1A-A1C10CFE9A61}"/>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035411503"/>
        <c:axId val="1035409839"/>
        <c:extLst/>
      </c:lineChart>
      <c:catAx>
        <c:axId val="1035411503"/>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fi-FI"/>
          </a:p>
        </c:txPr>
        <c:crossAx val="1035409839"/>
        <c:crosses val="autoZero"/>
        <c:auto val="1"/>
        <c:lblAlgn val="ctr"/>
        <c:lblOffset val="100"/>
        <c:noMultiLvlLbl val="0"/>
      </c:catAx>
      <c:valAx>
        <c:axId val="1035409839"/>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fi-FI"/>
          </a:p>
        </c:txPr>
        <c:crossAx val="1035411503"/>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i-FI"/>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fi-FI" b="1"/>
              <a:t>Payback using depreciation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fi-FI"/>
        </a:p>
      </c:txPr>
    </c:title>
    <c:autoTitleDeleted val="0"/>
    <c:plotArea>
      <c:layout/>
      <c:lineChart>
        <c:grouping val="standard"/>
        <c:varyColors val="0"/>
        <c:ser>
          <c:idx val="0"/>
          <c:order val="0"/>
          <c:tx>
            <c:strRef>
              <c:f>Summary!$C$11</c:f>
              <c:strCache>
                <c:ptCount val="1"/>
                <c:pt idx="0">
                  <c:v>Option 1</c:v>
                </c:pt>
              </c:strCache>
            </c:strRef>
          </c:tx>
          <c:spPr>
            <a:ln w="22225" cap="rnd" cmpd="sng" algn="ctr">
              <a:solidFill>
                <a:schemeClr val="accent1"/>
              </a:solidFill>
              <a:round/>
            </a:ln>
            <a:effectLst/>
          </c:spPr>
          <c:marker>
            <c:symbol val="none"/>
          </c:marker>
          <c:cat>
            <c:numRef>
              <c:f>Summary!$D$10:$N$10</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Summary!$D$11:$N$11</c:f>
              <c:numCache>
                <c:formatCode>#,##0.00</c:formatCode>
                <c:ptCount val="11"/>
                <c:pt idx="0">
                  <c:v>-2</c:v>
                </c:pt>
                <c:pt idx="1">
                  <c:v>-5</c:v>
                </c:pt>
                <c:pt idx="2">
                  <c:v>-6</c:v>
                </c:pt>
                <c:pt idx="3">
                  <c:v>-5</c:v>
                </c:pt>
                <c:pt idx="4">
                  <c:v>-5</c:v>
                </c:pt>
                <c:pt idx="5">
                  <c:v>-4</c:v>
                </c:pt>
                <c:pt idx="6">
                  <c:v>-3</c:v>
                </c:pt>
                <c:pt idx="7">
                  <c:v>-2</c:v>
                </c:pt>
                <c:pt idx="8">
                  <c:v>-1</c:v>
                </c:pt>
                <c:pt idx="9">
                  <c:v>0</c:v>
                </c:pt>
                <c:pt idx="10">
                  <c:v>1</c:v>
                </c:pt>
              </c:numCache>
            </c:numRef>
          </c:val>
          <c:smooth val="0"/>
          <c:extLst>
            <c:ext xmlns:c16="http://schemas.microsoft.com/office/drawing/2014/chart" uri="{C3380CC4-5D6E-409C-BE32-E72D297353CC}">
              <c16:uniqueId val="{00000000-F612-4821-B13B-66FB49EF13B2}"/>
            </c:ext>
          </c:extLst>
        </c:ser>
        <c:ser>
          <c:idx val="1"/>
          <c:order val="1"/>
          <c:tx>
            <c:strRef>
              <c:f>Summary!$C$12</c:f>
              <c:strCache>
                <c:ptCount val="1"/>
                <c:pt idx="0">
                  <c:v>Option 2</c:v>
                </c:pt>
              </c:strCache>
            </c:strRef>
          </c:tx>
          <c:spPr>
            <a:ln w="22225" cap="rnd" cmpd="sng" algn="ctr">
              <a:solidFill>
                <a:schemeClr val="accent2"/>
              </a:solidFill>
              <a:round/>
            </a:ln>
            <a:effectLst/>
          </c:spPr>
          <c:marker>
            <c:symbol val="none"/>
          </c:marker>
          <c:cat>
            <c:numRef>
              <c:f>Summary!$D$10:$N$10</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Summary!$D$12:$N$12</c:f>
              <c:numCache>
                <c:formatCode>#,##0.00</c:formatCode>
                <c:ptCount val="11"/>
                <c:pt idx="0">
                  <c:v>-2</c:v>
                </c:pt>
                <c:pt idx="1">
                  <c:v>-5</c:v>
                </c:pt>
                <c:pt idx="2">
                  <c:v>-5.5</c:v>
                </c:pt>
                <c:pt idx="3">
                  <c:v>-4</c:v>
                </c:pt>
                <c:pt idx="4">
                  <c:v>-3.5</c:v>
                </c:pt>
                <c:pt idx="5">
                  <c:v>-2</c:v>
                </c:pt>
                <c:pt idx="6">
                  <c:v>-0.5</c:v>
                </c:pt>
                <c:pt idx="7">
                  <c:v>1</c:v>
                </c:pt>
                <c:pt idx="8">
                  <c:v>2.5</c:v>
                </c:pt>
                <c:pt idx="9">
                  <c:v>4</c:v>
                </c:pt>
                <c:pt idx="10">
                  <c:v>5.5</c:v>
                </c:pt>
              </c:numCache>
            </c:numRef>
          </c:val>
          <c:smooth val="0"/>
          <c:extLst>
            <c:ext xmlns:c16="http://schemas.microsoft.com/office/drawing/2014/chart" uri="{C3380CC4-5D6E-409C-BE32-E72D297353CC}">
              <c16:uniqueId val="{00000001-F612-4821-B13B-66FB49EF13B2}"/>
            </c:ext>
          </c:extLst>
        </c:ser>
        <c:ser>
          <c:idx val="2"/>
          <c:order val="2"/>
          <c:tx>
            <c:strRef>
              <c:f>Summary!$C$13</c:f>
              <c:strCache>
                <c:ptCount val="1"/>
                <c:pt idx="0">
                  <c:v>Option 3</c:v>
                </c:pt>
              </c:strCache>
            </c:strRef>
          </c:tx>
          <c:spPr>
            <a:ln w="22225" cap="rnd" cmpd="sng" algn="ctr">
              <a:solidFill>
                <a:schemeClr val="accent3"/>
              </a:solidFill>
              <a:round/>
            </a:ln>
            <a:effectLst/>
          </c:spPr>
          <c:marker>
            <c:symbol val="none"/>
          </c:marker>
          <c:cat>
            <c:numRef>
              <c:f>Summary!$D$10:$N$10</c:f>
              <c:numCache>
                <c:formatCode>General</c:formatCode>
                <c:ptCount val="11"/>
                <c:pt idx="0">
                  <c:v>2022</c:v>
                </c:pt>
                <c:pt idx="1">
                  <c:v>2023</c:v>
                </c:pt>
                <c:pt idx="2">
                  <c:v>2024</c:v>
                </c:pt>
                <c:pt idx="3">
                  <c:v>2025</c:v>
                </c:pt>
                <c:pt idx="4">
                  <c:v>2026</c:v>
                </c:pt>
                <c:pt idx="5">
                  <c:v>2027</c:v>
                </c:pt>
                <c:pt idx="6">
                  <c:v>2028</c:v>
                </c:pt>
                <c:pt idx="7">
                  <c:v>2029</c:v>
                </c:pt>
                <c:pt idx="8">
                  <c:v>2030</c:v>
                </c:pt>
                <c:pt idx="9">
                  <c:v>2031</c:v>
                </c:pt>
                <c:pt idx="10">
                  <c:v>2032</c:v>
                </c:pt>
              </c:numCache>
            </c:numRef>
          </c:cat>
          <c:val>
            <c:numRef>
              <c:f>Summary!$D$13:$N$13</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F612-4821-B13B-66FB49EF13B2}"/>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05341615"/>
        <c:axId val="1305346607"/>
        <c:extLst/>
      </c:lineChart>
      <c:catAx>
        <c:axId val="1305341615"/>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fi-FI"/>
          </a:p>
        </c:txPr>
        <c:crossAx val="1305346607"/>
        <c:crosses val="autoZero"/>
        <c:auto val="1"/>
        <c:lblAlgn val="ctr"/>
        <c:lblOffset val="100"/>
        <c:noMultiLvlLbl val="0"/>
      </c:catAx>
      <c:valAx>
        <c:axId val="1305346607"/>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fi-FI"/>
          </a:p>
        </c:txPr>
        <c:crossAx val="1305341615"/>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i-FI"/>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trlProps/ctrlProp1.xml><?xml version="1.0" encoding="utf-8"?>
<formControlPr xmlns="http://schemas.microsoft.com/office/spreadsheetml/2009/9/main" objectType="Scroll" dx="31" fmlaLink="$I$20" horiz="1" max="200" page="10" val="100"/>
</file>

<file path=xl/ctrlProps/ctrlProp2.xml><?xml version="1.0" encoding="utf-8"?>
<formControlPr xmlns="http://schemas.microsoft.com/office/spreadsheetml/2009/9/main" objectType="Scroll" dx="31" fmlaLink="$I$23" horiz="1" max="200" page="10" val="100"/>
</file>

<file path=xl/ctrlProps/ctrlProp3.xml><?xml version="1.0" encoding="utf-8"?>
<formControlPr xmlns="http://schemas.microsoft.com/office/spreadsheetml/2009/9/main" objectType="Scroll" dx="31" fmlaLink="$I$24" horiz="1" max="200" page="10" val="100"/>
</file>

<file path=xl/ctrlProps/ctrlProp4.xml><?xml version="1.0" encoding="utf-8"?>
<formControlPr xmlns="http://schemas.microsoft.com/office/spreadsheetml/2009/9/main" objectType="Scroll" dx="31" fmlaLink="$I$18" horiz="1" max="60" page="10" val="30"/>
</file>

<file path=xl/ctrlProps/ctrlProp5.xml><?xml version="1.0" encoding="utf-8"?>
<formControlPr xmlns="http://schemas.microsoft.com/office/spreadsheetml/2009/9/main" objectType="Scroll" dx="31" fmlaLink="$I$21" horiz="1" max="200" page="10" val="100"/>
</file>

<file path=xl/ctrlProps/ctrlProp6.xml><?xml version="1.0" encoding="utf-8"?>
<formControlPr xmlns="http://schemas.microsoft.com/office/spreadsheetml/2009/9/main" objectType="Scroll" dx="31" fmlaLink="$I$25" horiz="1" max="200" page="10" val="10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210057</xdr:colOff>
      <xdr:row>46</xdr:row>
      <xdr:rowOff>31750</xdr:rowOff>
    </xdr:from>
    <xdr:to>
      <xdr:col>15</xdr:col>
      <xdr:colOff>97461</xdr:colOff>
      <xdr:row>62</xdr:row>
      <xdr:rowOff>1872</xdr:rowOff>
    </xdr:to>
    <xdr:grpSp>
      <xdr:nvGrpSpPr>
        <xdr:cNvPr id="71" name="Ryhmä 70">
          <a:extLst>
            <a:ext uri="{FF2B5EF4-FFF2-40B4-BE49-F238E27FC236}">
              <a16:creationId xmlns:a16="http://schemas.microsoft.com/office/drawing/2014/main" id="{00000000-0008-0000-0000-000047000000}"/>
            </a:ext>
          </a:extLst>
        </xdr:cNvPr>
        <xdr:cNvGrpSpPr>
          <a:grpSpLocks noChangeAspect="1"/>
        </xdr:cNvGrpSpPr>
      </xdr:nvGrpSpPr>
      <xdr:grpSpPr>
        <a:xfrm>
          <a:off x="1861057" y="10033000"/>
          <a:ext cx="5373804" cy="2916522"/>
          <a:chOff x="2671991" y="1324565"/>
          <a:chExt cx="6848018" cy="3716621"/>
        </a:xfrm>
      </xdr:grpSpPr>
      <xdr:sp macro="" textlink="">
        <xdr:nvSpPr>
          <xdr:cNvPr id="72" name="Vapaamuotoinen: Muoto 71">
            <a:extLst>
              <a:ext uri="{FF2B5EF4-FFF2-40B4-BE49-F238E27FC236}">
                <a16:creationId xmlns:a16="http://schemas.microsoft.com/office/drawing/2014/main" id="{00000000-0008-0000-0000-000048000000}"/>
              </a:ext>
            </a:extLst>
          </xdr:cNvPr>
          <xdr:cNvSpPr/>
        </xdr:nvSpPr>
        <xdr:spPr>
          <a:xfrm>
            <a:off x="8167306" y="1329798"/>
            <a:ext cx="1044370" cy="3711388"/>
          </a:xfrm>
          <a:custGeom>
            <a:avLst/>
            <a:gdLst>
              <a:gd name="connsiteX0" fmla="*/ 0 w 1044370"/>
              <a:gd name="connsiteY0" fmla="*/ 0 h 3711388"/>
              <a:gd name="connsiteX1" fmla="*/ 479608 w 1044370"/>
              <a:gd name="connsiteY1" fmla="*/ 0 h 3711388"/>
              <a:gd name="connsiteX2" fmla="*/ 1044370 w 1044370"/>
              <a:gd name="connsiteY2" fmla="*/ 1855694 h 3711388"/>
              <a:gd name="connsiteX3" fmla="*/ 479608 w 1044370"/>
              <a:gd name="connsiteY3" fmla="*/ 3711388 h 3711388"/>
              <a:gd name="connsiteX4" fmla="*/ 0 w 1044370"/>
              <a:gd name="connsiteY4" fmla="*/ 3711388 h 3711388"/>
              <a:gd name="connsiteX5" fmla="*/ 564762 w 1044370"/>
              <a:gd name="connsiteY5" fmla="*/ 1855694 h 3711388"/>
              <a:gd name="connsiteX6" fmla="*/ 0 w 1044370"/>
              <a:gd name="connsiteY6" fmla="*/ 0 h 3711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044370" h="3711388">
                <a:moveTo>
                  <a:pt x="0" y="0"/>
                </a:moveTo>
                <a:lnTo>
                  <a:pt x="479608" y="0"/>
                </a:lnTo>
                <a:lnTo>
                  <a:pt x="1044370" y="1855694"/>
                </a:lnTo>
                <a:lnTo>
                  <a:pt x="479608" y="3711388"/>
                </a:lnTo>
                <a:lnTo>
                  <a:pt x="0" y="3711388"/>
                </a:lnTo>
                <a:lnTo>
                  <a:pt x="564762" y="1855694"/>
                </a:lnTo>
                <a:lnTo>
                  <a:pt x="0" y="0"/>
                </a:lnTo>
                <a:close/>
              </a:path>
            </a:pathLst>
          </a:custGeom>
          <a:solidFill>
            <a:srgbClr val="9FC9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grpSp>
        <xdr:nvGrpSpPr>
          <xdr:cNvPr id="73" name="Ryhmä 72">
            <a:extLst>
              <a:ext uri="{FF2B5EF4-FFF2-40B4-BE49-F238E27FC236}">
                <a16:creationId xmlns:a16="http://schemas.microsoft.com/office/drawing/2014/main" id="{00000000-0008-0000-0000-000049000000}"/>
              </a:ext>
            </a:extLst>
          </xdr:cNvPr>
          <xdr:cNvGrpSpPr/>
        </xdr:nvGrpSpPr>
        <xdr:grpSpPr>
          <a:xfrm>
            <a:off x="2671991" y="1324565"/>
            <a:ext cx="5804056" cy="3715842"/>
            <a:chOff x="2747682" y="1324565"/>
            <a:chExt cx="5804056" cy="3715842"/>
          </a:xfrm>
          <a:solidFill>
            <a:srgbClr val="9FC9EB"/>
          </a:solidFill>
        </xdr:grpSpPr>
        <xdr:sp macro="" textlink="">
          <xdr:nvSpPr>
            <xdr:cNvPr id="91" name="Vapaamuotoinen: Muoto 90">
              <a:extLst>
                <a:ext uri="{FF2B5EF4-FFF2-40B4-BE49-F238E27FC236}">
                  <a16:creationId xmlns:a16="http://schemas.microsoft.com/office/drawing/2014/main" id="{00000000-0008-0000-0000-00005B000000}"/>
                </a:ext>
              </a:extLst>
            </xdr:cNvPr>
            <xdr:cNvSpPr/>
          </xdr:nvSpPr>
          <xdr:spPr>
            <a:xfrm flipV="1">
              <a:off x="2747683" y="1324565"/>
              <a:ext cx="5515311" cy="865109"/>
            </a:xfrm>
            <a:custGeom>
              <a:avLst/>
              <a:gdLst>
                <a:gd name="connsiteX0" fmla="*/ 0 w 5515311"/>
                <a:gd name="connsiteY0" fmla="*/ 865109 h 865109"/>
                <a:gd name="connsiteX1" fmla="*/ 5252023 w 5515311"/>
                <a:gd name="connsiteY1" fmla="*/ 865109 h 865109"/>
                <a:gd name="connsiteX2" fmla="*/ 5515311 w 5515311"/>
                <a:gd name="connsiteY2" fmla="*/ 0 h 865109"/>
                <a:gd name="connsiteX3" fmla="*/ 0 w 5515311"/>
                <a:gd name="connsiteY3" fmla="*/ 0 h 865109"/>
                <a:gd name="connsiteX4" fmla="*/ 0 w 5515311"/>
                <a:gd name="connsiteY4" fmla="*/ 865109 h 86510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15311" h="865109">
                  <a:moveTo>
                    <a:pt x="0" y="865109"/>
                  </a:moveTo>
                  <a:lnTo>
                    <a:pt x="5252023" y="865109"/>
                  </a:lnTo>
                  <a:lnTo>
                    <a:pt x="5515311" y="0"/>
                  </a:lnTo>
                  <a:lnTo>
                    <a:pt x="0" y="0"/>
                  </a:lnTo>
                  <a:lnTo>
                    <a:pt x="0" y="865109"/>
                  </a:lnTo>
                  <a:close/>
                </a:path>
              </a:pathLst>
            </a:cu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92" name="Vapaamuotoinen: Muoto 91">
              <a:extLst>
                <a:ext uri="{FF2B5EF4-FFF2-40B4-BE49-F238E27FC236}">
                  <a16:creationId xmlns:a16="http://schemas.microsoft.com/office/drawing/2014/main" id="{00000000-0008-0000-0000-00005C000000}"/>
                </a:ext>
              </a:extLst>
            </xdr:cNvPr>
            <xdr:cNvSpPr/>
          </xdr:nvSpPr>
          <xdr:spPr>
            <a:xfrm flipV="1">
              <a:off x="2747682" y="2273324"/>
              <a:ext cx="5804056" cy="865110"/>
            </a:xfrm>
            <a:custGeom>
              <a:avLst/>
              <a:gdLst>
                <a:gd name="connsiteX0" fmla="*/ 0 w 5804056"/>
                <a:gd name="connsiteY0" fmla="*/ 865110 h 865110"/>
                <a:gd name="connsiteX1" fmla="*/ 5540769 w 5804056"/>
                <a:gd name="connsiteY1" fmla="*/ 865110 h 865110"/>
                <a:gd name="connsiteX2" fmla="*/ 5804056 w 5804056"/>
                <a:gd name="connsiteY2" fmla="*/ 0 h 865110"/>
                <a:gd name="connsiteX3" fmla="*/ 0 w 5804056"/>
                <a:gd name="connsiteY3" fmla="*/ 0 h 865110"/>
                <a:gd name="connsiteX4" fmla="*/ 0 w 5804056"/>
                <a:gd name="connsiteY4" fmla="*/ 865110 h 86511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04056" h="865110">
                  <a:moveTo>
                    <a:pt x="0" y="865110"/>
                  </a:moveTo>
                  <a:lnTo>
                    <a:pt x="5540769" y="865110"/>
                  </a:lnTo>
                  <a:lnTo>
                    <a:pt x="5804056" y="0"/>
                  </a:lnTo>
                  <a:lnTo>
                    <a:pt x="0" y="0"/>
                  </a:lnTo>
                  <a:lnTo>
                    <a:pt x="0" y="865110"/>
                  </a:lnTo>
                  <a:close/>
                </a:path>
              </a:pathLst>
            </a:cu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93" name="Vapaamuotoinen: Muoto 92">
              <a:extLst>
                <a:ext uri="{FF2B5EF4-FFF2-40B4-BE49-F238E27FC236}">
                  <a16:creationId xmlns:a16="http://schemas.microsoft.com/office/drawing/2014/main" id="{00000000-0008-0000-0000-00005D000000}"/>
                </a:ext>
              </a:extLst>
            </xdr:cNvPr>
            <xdr:cNvSpPr/>
          </xdr:nvSpPr>
          <xdr:spPr>
            <a:xfrm>
              <a:off x="2747682" y="3226538"/>
              <a:ext cx="5804056" cy="1813869"/>
            </a:xfrm>
            <a:custGeom>
              <a:avLst/>
              <a:gdLst>
                <a:gd name="connsiteX0" fmla="*/ 0 w 5804056"/>
                <a:gd name="connsiteY0" fmla="*/ 0 h 1813869"/>
                <a:gd name="connsiteX1" fmla="*/ 5804056 w 5804056"/>
                <a:gd name="connsiteY1" fmla="*/ 0 h 1813869"/>
                <a:gd name="connsiteX2" fmla="*/ 5252023 w 5804056"/>
                <a:gd name="connsiteY2" fmla="*/ 1813869 h 1813869"/>
                <a:gd name="connsiteX3" fmla="*/ 0 w 5804056"/>
                <a:gd name="connsiteY3" fmla="*/ 1813869 h 1813869"/>
                <a:gd name="connsiteX4" fmla="*/ 0 w 5804056"/>
                <a:gd name="connsiteY4" fmla="*/ 0 h 18138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04056" h="1813869">
                  <a:moveTo>
                    <a:pt x="0" y="0"/>
                  </a:moveTo>
                  <a:lnTo>
                    <a:pt x="5804056" y="0"/>
                  </a:lnTo>
                  <a:lnTo>
                    <a:pt x="5252023" y="1813869"/>
                  </a:lnTo>
                  <a:lnTo>
                    <a:pt x="0" y="1813869"/>
                  </a:lnTo>
                  <a:lnTo>
                    <a:pt x="0" y="0"/>
                  </a:lnTo>
                  <a:close/>
                </a:path>
              </a:pathLst>
            </a:cu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grpSp>
      <xdr:grpSp>
        <xdr:nvGrpSpPr>
          <xdr:cNvPr id="74" name="Ryhmä 73">
            <a:extLst>
              <a:ext uri="{FF2B5EF4-FFF2-40B4-BE49-F238E27FC236}">
                <a16:creationId xmlns:a16="http://schemas.microsoft.com/office/drawing/2014/main" id="{00000000-0008-0000-0000-00004A000000}"/>
              </a:ext>
            </a:extLst>
          </xdr:cNvPr>
          <xdr:cNvGrpSpPr/>
        </xdr:nvGrpSpPr>
        <xdr:grpSpPr>
          <a:xfrm>
            <a:off x="2823882" y="1324565"/>
            <a:ext cx="5804056" cy="3715842"/>
            <a:chOff x="2747682" y="1324565"/>
            <a:chExt cx="5804056" cy="3715842"/>
          </a:xfrm>
        </xdr:grpSpPr>
        <xdr:sp macro="" textlink="">
          <xdr:nvSpPr>
            <xdr:cNvPr id="88" name="Vapaamuotoinen: Muoto 87">
              <a:extLst>
                <a:ext uri="{FF2B5EF4-FFF2-40B4-BE49-F238E27FC236}">
                  <a16:creationId xmlns:a16="http://schemas.microsoft.com/office/drawing/2014/main" id="{00000000-0008-0000-0000-000058000000}"/>
                </a:ext>
              </a:extLst>
            </xdr:cNvPr>
            <xdr:cNvSpPr/>
          </xdr:nvSpPr>
          <xdr:spPr>
            <a:xfrm flipV="1">
              <a:off x="2747683" y="1324565"/>
              <a:ext cx="5515311" cy="865109"/>
            </a:xfrm>
            <a:custGeom>
              <a:avLst/>
              <a:gdLst>
                <a:gd name="connsiteX0" fmla="*/ 0 w 5515311"/>
                <a:gd name="connsiteY0" fmla="*/ 865109 h 865109"/>
                <a:gd name="connsiteX1" fmla="*/ 5252023 w 5515311"/>
                <a:gd name="connsiteY1" fmla="*/ 865109 h 865109"/>
                <a:gd name="connsiteX2" fmla="*/ 5515311 w 5515311"/>
                <a:gd name="connsiteY2" fmla="*/ 0 h 865109"/>
                <a:gd name="connsiteX3" fmla="*/ 0 w 5515311"/>
                <a:gd name="connsiteY3" fmla="*/ 0 h 865109"/>
                <a:gd name="connsiteX4" fmla="*/ 0 w 5515311"/>
                <a:gd name="connsiteY4" fmla="*/ 865109 h 86510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15311" h="865109">
                  <a:moveTo>
                    <a:pt x="0" y="865109"/>
                  </a:moveTo>
                  <a:lnTo>
                    <a:pt x="5252023" y="865109"/>
                  </a:lnTo>
                  <a:lnTo>
                    <a:pt x="5515311" y="0"/>
                  </a:lnTo>
                  <a:lnTo>
                    <a:pt x="0" y="0"/>
                  </a:lnTo>
                  <a:lnTo>
                    <a:pt x="0" y="865109"/>
                  </a:lnTo>
                  <a:close/>
                </a:path>
              </a:pathLst>
            </a:custGeom>
            <a:solidFill>
              <a:srgbClr val="9FC9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89" name="Vapaamuotoinen: Muoto 88">
              <a:extLst>
                <a:ext uri="{FF2B5EF4-FFF2-40B4-BE49-F238E27FC236}">
                  <a16:creationId xmlns:a16="http://schemas.microsoft.com/office/drawing/2014/main" id="{00000000-0008-0000-0000-000059000000}"/>
                </a:ext>
              </a:extLst>
            </xdr:cNvPr>
            <xdr:cNvSpPr/>
          </xdr:nvSpPr>
          <xdr:spPr>
            <a:xfrm flipV="1">
              <a:off x="2747682" y="2273324"/>
              <a:ext cx="5804056" cy="865110"/>
            </a:xfrm>
            <a:custGeom>
              <a:avLst/>
              <a:gdLst>
                <a:gd name="connsiteX0" fmla="*/ 0 w 5804056"/>
                <a:gd name="connsiteY0" fmla="*/ 865110 h 865110"/>
                <a:gd name="connsiteX1" fmla="*/ 5540769 w 5804056"/>
                <a:gd name="connsiteY1" fmla="*/ 865110 h 865110"/>
                <a:gd name="connsiteX2" fmla="*/ 5804056 w 5804056"/>
                <a:gd name="connsiteY2" fmla="*/ 0 h 865110"/>
                <a:gd name="connsiteX3" fmla="*/ 0 w 5804056"/>
                <a:gd name="connsiteY3" fmla="*/ 0 h 865110"/>
                <a:gd name="connsiteX4" fmla="*/ 0 w 5804056"/>
                <a:gd name="connsiteY4" fmla="*/ 865110 h 86511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04056" h="865110">
                  <a:moveTo>
                    <a:pt x="0" y="865110"/>
                  </a:moveTo>
                  <a:lnTo>
                    <a:pt x="5540769" y="865110"/>
                  </a:lnTo>
                  <a:lnTo>
                    <a:pt x="5804056" y="0"/>
                  </a:lnTo>
                  <a:lnTo>
                    <a:pt x="0" y="0"/>
                  </a:lnTo>
                  <a:lnTo>
                    <a:pt x="0" y="865110"/>
                  </a:lnTo>
                  <a:close/>
                </a:path>
              </a:pathLst>
            </a:custGeom>
            <a:solidFill>
              <a:srgbClr val="9FC9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90" name="Vapaamuotoinen: Muoto 89">
              <a:extLst>
                <a:ext uri="{FF2B5EF4-FFF2-40B4-BE49-F238E27FC236}">
                  <a16:creationId xmlns:a16="http://schemas.microsoft.com/office/drawing/2014/main" id="{00000000-0008-0000-0000-00005A000000}"/>
                </a:ext>
              </a:extLst>
            </xdr:cNvPr>
            <xdr:cNvSpPr/>
          </xdr:nvSpPr>
          <xdr:spPr>
            <a:xfrm>
              <a:off x="2747682" y="3226538"/>
              <a:ext cx="5804056" cy="1813869"/>
            </a:xfrm>
            <a:custGeom>
              <a:avLst/>
              <a:gdLst>
                <a:gd name="connsiteX0" fmla="*/ 0 w 5804056"/>
                <a:gd name="connsiteY0" fmla="*/ 0 h 1813869"/>
                <a:gd name="connsiteX1" fmla="*/ 5804056 w 5804056"/>
                <a:gd name="connsiteY1" fmla="*/ 0 h 1813869"/>
                <a:gd name="connsiteX2" fmla="*/ 5252023 w 5804056"/>
                <a:gd name="connsiteY2" fmla="*/ 1813869 h 1813869"/>
                <a:gd name="connsiteX3" fmla="*/ 0 w 5804056"/>
                <a:gd name="connsiteY3" fmla="*/ 1813869 h 1813869"/>
                <a:gd name="connsiteX4" fmla="*/ 0 w 5804056"/>
                <a:gd name="connsiteY4" fmla="*/ 0 h 181386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04056" h="1813869">
                  <a:moveTo>
                    <a:pt x="0" y="0"/>
                  </a:moveTo>
                  <a:lnTo>
                    <a:pt x="5804056" y="0"/>
                  </a:lnTo>
                  <a:lnTo>
                    <a:pt x="5252023" y="1813869"/>
                  </a:lnTo>
                  <a:lnTo>
                    <a:pt x="0" y="1813869"/>
                  </a:lnTo>
                  <a:lnTo>
                    <a:pt x="0" y="0"/>
                  </a:lnTo>
                  <a:close/>
                </a:path>
              </a:pathLst>
            </a:custGeom>
            <a:solidFill>
              <a:srgbClr val="9FC9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grpSp>
      <xdr:sp macro="" textlink="">
        <xdr:nvSpPr>
          <xdr:cNvPr id="75" name="Tekstiruutu 8">
            <a:extLst>
              <a:ext uri="{FF2B5EF4-FFF2-40B4-BE49-F238E27FC236}">
                <a16:creationId xmlns:a16="http://schemas.microsoft.com/office/drawing/2014/main" id="{00000000-0008-0000-0000-00004B000000}"/>
              </a:ext>
            </a:extLst>
          </xdr:cNvPr>
          <xdr:cNvSpPr txBox="1"/>
        </xdr:nvSpPr>
        <xdr:spPr>
          <a:xfrm>
            <a:off x="2725128" y="3350938"/>
            <a:ext cx="5521618" cy="678359"/>
          </a:xfrm>
          <a:prstGeom prst="rect">
            <a:avLst/>
          </a:prstGeom>
          <a:noFill/>
        </xdr:spPr>
        <xdr:txBody>
          <a:bodyPr wrap="square" lIns="0" tIns="0" rIns="0" bIns="0" rtlCol="0">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200" b="1">
                <a:latin typeface="Calibri" panose="020F0502020204030204" pitchFamily="34" charset="0"/>
                <a:cs typeface="Calibri" panose="020F0502020204030204" pitchFamily="34" charset="0"/>
              </a:rPr>
              <a:t>Primary activities</a:t>
            </a:r>
          </a:p>
          <a:p>
            <a:pPr algn="ctr"/>
            <a:r>
              <a:rPr lang="fi-FI" sz="1100">
                <a:latin typeface="Calibri" panose="020F0502020204030204" pitchFamily="34" charset="0"/>
                <a:cs typeface="Calibri" panose="020F0502020204030204" pitchFamily="34" charset="0"/>
              </a:rPr>
              <a:t>Value chains of the divisions and public utilities that provide the city's services to for example to residents, companies, communities and tourists.</a:t>
            </a:r>
          </a:p>
        </xdr:txBody>
      </xdr:sp>
      <xdr:sp macro="" textlink="">
        <xdr:nvSpPr>
          <xdr:cNvPr id="76" name="Vapaamuotoinen: Muoto 75">
            <a:extLst>
              <a:ext uri="{FF2B5EF4-FFF2-40B4-BE49-F238E27FC236}">
                <a16:creationId xmlns:a16="http://schemas.microsoft.com/office/drawing/2014/main" id="{00000000-0008-0000-0000-00004C000000}"/>
              </a:ext>
            </a:extLst>
          </xdr:cNvPr>
          <xdr:cNvSpPr/>
        </xdr:nvSpPr>
        <xdr:spPr>
          <a:xfrm>
            <a:off x="6931705" y="4188083"/>
            <a:ext cx="1234221" cy="751915"/>
          </a:xfrm>
          <a:custGeom>
            <a:avLst/>
            <a:gdLst>
              <a:gd name="connsiteX0" fmla="*/ 0 w 1234221"/>
              <a:gd name="connsiteY0" fmla="*/ 0 h 751915"/>
              <a:gd name="connsiteX1" fmla="*/ 754613 w 1234221"/>
              <a:gd name="connsiteY1" fmla="*/ 0 h 751915"/>
              <a:gd name="connsiteX2" fmla="*/ 1234221 w 1234221"/>
              <a:gd name="connsiteY2" fmla="*/ 0 h 751915"/>
              <a:gd name="connsiteX3" fmla="*/ 1005384 w 1234221"/>
              <a:gd name="connsiteY3" fmla="*/ 751915 h 751915"/>
              <a:gd name="connsiteX4" fmla="*/ 525776 w 1234221"/>
              <a:gd name="connsiteY4" fmla="*/ 751915 h 751915"/>
              <a:gd name="connsiteX5" fmla="*/ 0 w 1234221"/>
              <a:gd name="connsiteY5" fmla="*/ 751915 h 7519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4221" h="751915">
                <a:moveTo>
                  <a:pt x="0" y="0"/>
                </a:moveTo>
                <a:lnTo>
                  <a:pt x="754613" y="0"/>
                </a:lnTo>
                <a:lnTo>
                  <a:pt x="1234221" y="0"/>
                </a:lnTo>
                <a:lnTo>
                  <a:pt x="1005384" y="751915"/>
                </a:lnTo>
                <a:lnTo>
                  <a:pt x="525776" y="751915"/>
                </a:lnTo>
                <a:lnTo>
                  <a:pt x="0" y="751915"/>
                </a:lnTo>
                <a:close/>
              </a:path>
            </a:pathLst>
          </a:custGeom>
          <a:solidFill>
            <a:srgbClr val="9FC9EB"/>
          </a:solidFill>
          <a:ln w="285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77" name="Suorakulmio 76">
            <a:extLst>
              <a:ext uri="{FF2B5EF4-FFF2-40B4-BE49-F238E27FC236}">
                <a16:creationId xmlns:a16="http://schemas.microsoft.com/office/drawing/2014/main" id="{00000000-0008-0000-0000-00004D000000}"/>
              </a:ext>
            </a:extLst>
          </xdr:cNvPr>
          <xdr:cNvSpPr/>
        </xdr:nvSpPr>
        <xdr:spPr>
          <a:xfrm>
            <a:off x="2821247" y="4188083"/>
            <a:ext cx="1116000" cy="751915"/>
          </a:xfrm>
          <a:prstGeom prst="rect">
            <a:avLst/>
          </a:prstGeom>
          <a:solidFill>
            <a:srgbClr val="9FC9EB"/>
          </a:solidFill>
          <a:ln w="285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78" name="Tekstiruutu 18">
            <a:extLst>
              <a:ext uri="{FF2B5EF4-FFF2-40B4-BE49-F238E27FC236}">
                <a16:creationId xmlns:a16="http://schemas.microsoft.com/office/drawing/2014/main" id="{00000000-0008-0000-0000-00004E000000}"/>
              </a:ext>
            </a:extLst>
          </xdr:cNvPr>
          <xdr:cNvSpPr txBox="1"/>
        </xdr:nvSpPr>
        <xdr:spPr>
          <a:xfrm>
            <a:off x="2959445" y="4456318"/>
            <a:ext cx="839604" cy="227430"/>
          </a:xfrm>
          <a:prstGeom prst="rect">
            <a:avLst/>
          </a:prstGeom>
          <a:noFill/>
        </xdr:spPr>
        <xdr:txBody>
          <a:bodyPr wrap="square" lIns="0" tIns="0" rIns="0" bIns="0" rtlCol="0">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100">
                <a:latin typeface="Calibri" panose="020F0502020204030204" pitchFamily="34" charset="0"/>
                <a:cs typeface="Calibri" panose="020F0502020204030204" pitchFamily="34" charset="0"/>
              </a:rPr>
              <a:t>Supply</a:t>
            </a:r>
          </a:p>
        </xdr:txBody>
      </xdr:sp>
      <xdr:sp macro="" textlink="">
        <xdr:nvSpPr>
          <xdr:cNvPr id="79" name="Suorakulmio 78">
            <a:extLst>
              <a:ext uri="{FF2B5EF4-FFF2-40B4-BE49-F238E27FC236}">
                <a16:creationId xmlns:a16="http://schemas.microsoft.com/office/drawing/2014/main" id="{00000000-0008-0000-0000-00004F000000}"/>
              </a:ext>
            </a:extLst>
          </xdr:cNvPr>
          <xdr:cNvSpPr/>
        </xdr:nvSpPr>
        <xdr:spPr>
          <a:xfrm>
            <a:off x="4043729" y="4188083"/>
            <a:ext cx="1548000" cy="751915"/>
          </a:xfrm>
          <a:prstGeom prst="rect">
            <a:avLst/>
          </a:prstGeom>
          <a:solidFill>
            <a:srgbClr val="9FC9EB"/>
          </a:solidFill>
          <a:ln w="285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80" name="Tekstiruutu 20">
            <a:extLst>
              <a:ext uri="{FF2B5EF4-FFF2-40B4-BE49-F238E27FC236}">
                <a16:creationId xmlns:a16="http://schemas.microsoft.com/office/drawing/2014/main" id="{00000000-0008-0000-0000-000050000000}"/>
              </a:ext>
            </a:extLst>
          </xdr:cNvPr>
          <xdr:cNvSpPr txBox="1"/>
        </xdr:nvSpPr>
        <xdr:spPr>
          <a:xfrm>
            <a:off x="4142202" y="4348599"/>
            <a:ext cx="1351056" cy="438948"/>
          </a:xfrm>
          <a:prstGeom prst="rect">
            <a:avLst/>
          </a:prstGeom>
          <a:noFill/>
        </xdr:spPr>
        <xdr:txBody>
          <a:bodyPr wrap="square" lIns="0" tIns="0" rIns="0" bIns="0" rtlCol="0">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100">
                <a:latin typeface="Calibri" panose="020F0502020204030204" pitchFamily="34" charset="0"/>
                <a:cs typeface="Calibri" panose="020F0502020204030204" pitchFamily="34" charset="0"/>
              </a:rPr>
              <a:t>Service operations and logistics</a:t>
            </a:r>
          </a:p>
        </xdr:txBody>
      </xdr:sp>
      <xdr:sp macro="" textlink="">
        <xdr:nvSpPr>
          <xdr:cNvPr id="81" name="Suorakulmio 80">
            <a:extLst>
              <a:ext uri="{FF2B5EF4-FFF2-40B4-BE49-F238E27FC236}">
                <a16:creationId xmlns:a16="http://schemas.microsoft.com/office/drawing/2014/main" id="{00000000-0008-0000-0000-000051000000}"/>
              </a:ext>
            </a:extLst>
          </xdr:cNvPr>
          <xdr:cNvSpPr/>
        </xdr:nvSpPr>
        <xdr:spPr>
          <a:xfrm>
            <a:off x="5702247" y="4188083"/>
            <a:ext cx="1116000" cy="751915"/>
          </a:xfrm>
          <a:prstGeom prst="rect">
            <a:avLst/>
          </a:prstGeom>
          <a:solidFill>
            <a:srgbClr val="9FC9EB"/>
          </a:solidFill>
          <a:ln w="285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82" name="Tekstiruutu 25">
            <a:extLst>
              <a:ext uri="{FF2B5EF4-FFF2-40B4-BE49-F238E27FC236}">
                <a16:creationId xmlns:a16="http://schemas.microsoft.com/office/drawing/2014/main" id="{00000000-0008-0000-0000-000052000000}"/>
              </a:ext>
            </a:extLst>
          </xdr:cNvPr>
          <xdr:cNvSpPr txBox="1"/>
        </xdr:nvSpPr>
        <xdr:spPr>
          <a:xfrm>
            <a:off x="5840445" y="4348599"/>
            <a:ext cx="839603" cy="438948"/>
          </a:xfrm>
          <a:prstGeom prst="rect">
            <a:avLst/>
          </a:prstGeom>
          <a:noFill/>
        </xdr:spPr>
        <xdr:txBody>
          <a:bodyPr wrap="square" lIns="0" tIns="0" rIns="0" bIns="0" rtlCol="0">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100">
                <a:latin typeface="Calibri" panose="020F0502020204030204" pitchFamily="34" charset="0"/>
                <a:cs typeface="Calibri" panose="020F0502020204030204" pitchFamily="34" charset="0"/>
              </a:rPr>
              <a:t>Service offering</a:t>
            </a:r>
          </a:p>
        </xdr:txBody>
      </xdr:sp>
      <xdr:sp macro="" textlink="">
        <xdr:nvSpPr>
          <xdr:cNvPr id="83" name="Tekstiruutu 26">
            <a:extLst>
              <a:ext uri="{FF2B5EF4-FFF2-40B4-BE49-F238E27FC236}">
                <a16:creationId xmlns:a16="http://schemas.microsoft.com/office/drawing/2014/main" id="{00000000-0008-0000-0000-000053000000}"/>
              </a:ext>
            </a:extLst>
          </xdr:cNvPr>
          <xdr:cNvSpPr txBox="1"/>
        </xdr:nvSpPr>
        <xdr:spPr>
          <a:xfrm>
            <a:off x="7061424" y="4240875"/>
            <a:ext cx="839603" cy="658423"/>
          </a:xfrm>
          <a:prstGeom prst="rect">
            <a:avLst/>
          </a:prstGeom>
          <a:noFill/>
        </xdr:spPr>
        <xdr:txBody>
          <a:bodyPr wrap="square" lIns="0" tIns="0" rIns="0" bIns="0" rtlCol="0">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100">
                <a:latin typeface="Calibri" panose="020F0502020204030204" pitchFamily="34" charset="0"/>
                <a:cs typeface="Calibri" panose="020F0502020204030204" pitchFamily="34" charset="0"/>
              </a:rPr>
              <a:t>Delivery and support</a:t>
            </a:r>
          </a:p>
        </xdr:txBody>
      </xdr:sp>
      <xdr:sp macro="" textlink="">
        <xdr:nvSpPr>
          <xdr:cNvPr id="84" name="Tekstiruutu 32">
            <a:extLst>
              <a:ext uri="{FF2B5EF4-FFF2-40B4-BE49-F238E27FC236}">
                <a16:creationId xmlns:a16="http://schemas.microsoft.com/office/drawing/2014/main" id="{00000000-0008-0000-0000-000054000000}"/>
              </a:ext>
            </a:extLst>
          </xdr:cNvPr>
          <xdr:cNvSpPr txBox="1"/>
        </xdr:nvSpPr>
        <xdr:spPr>
          <a:xfrm>
            <a:off x="3285100" y="2363558"/>
            <a:ext cx="4401672" cy="678359"/>
          </a:xfrm>
          <a:prstGeom prst="rect">
            <a:avLst/>
          </a:prstGeom>
          <a:noFill/>
        </xdr:spPr>
        <xdr:txBody>
          <a:bodyPr wrap="square" lIns="0" tIns="0" rIns="0" bIns="0" rtlCol="0">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200" b="1">
                <a:latin typeface="Calibri" panose="020F0502020204030204" pitchFamily="34" charset="0"/>
                <a:cs typeface="Calibri" panose="020F0502020204030204" pitchFamily="34" charset="0"/>
              </a:rPr>
              <a:t>Digitalisation</a:t>
            </a:r>
            <a:r>
              <a:rPr lang="fi-FI" sz="1200" b="1" baseline="0">
                <a:latin typeface="Calibri" panose="020F0502020204030204" pitchFamily="34" charset="0"/>
                <a:cs typeface="Calibri" panose="020F0502020204030204" pitchFamily="34" charset="0"/>
              </a:rPr>
              <a:t> and technology</a:t>
            </a:r>
            <a:endParaRPr lang="fi-FI" sz="1200" b="1">
              <a:latin typeface="Calibri" panose="020F0502020204030204" pitchFamily="34" charset="0"/>
              <a:cs typeface="Calibri" panose="020F0502020204030204" pitchFamily="34" charset="0"/>
            </a:endParaRPr>
          </a:p>
          <a:p>
            <a:pPr algn="ctr"/>
            <a:r>
              <a:rPr lang="fi-FI" sz="1100">
                <a:latin typeface="Calibri" panose="020F0502020204030204" pitchFamily="34" charset="0"/>
                <a:cs typeface="Calibri" panose="020F0502020204030204" pitchFamily="34" charset="0"/>
              </a:rPr>
              <a:t>Improving primary and support functions through digital and technological means</a:t>
            </a:r>
          </a:p>
        </xdr:txBody>
      </xdr:sp>
      <xdr:sp macro="" textlink="">
        <xdr:nvSpPr>
          <xdr:cNvPr id="85" name="Tekstiruutu 37">
            <a:extLst>
              <a:ext uri="{FF2B5EF4-FFF2-40B4-BE49-F238E27FC236}">
                <a16:creationId xmlns:a16="http://schemas.microsoft.com/office/drawing/2014/main" id="{00000000-0008-0000-0000-000055000000}"/>
              </a:ext>
            </a:extLst>
          </xdr:cNvPr>
          <xdr:cNvSpPr txBox="1"/>
        </xdr:nvSpPr>
        <xdr:spPr>
          <a:xfrm>
            <a:off x="2768222" y="1404924"/>
            <a:ext cx="5435427" cy="678359"/>
          </a:xfrm>
          <a:prstGeom prst="rect">
            <a:avLst/>
          </a:prstGeom>
          <a:noFill/>
        </xdr:spPr>
        <xdr:txBody>
          <a:bodyPr wrap="square" lIns="0" tIns="0" rIns="0" bIns="0" rtlCol="0">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200" b="1">
                <a:latin typeface="Calibri" panose="020F0502020204030204" pitchFamily="34" charset="0"/>
                <a:cs typeface="Calibri" panose="020F0502020204030204" pitchFamily="34" charset="0"/>
              </a:rPr>
              <a:t>Supporting activities</a:t>
            </a:r>
          </a:p>
          <a:p>
            <a:pPr algn="ctr"/>
            <a:r>
              <a:rPr lang="fi-FI" sz="1100">
                <a:latin typeface="Calibri" panose="020F0502020204030204" pitchFamily="34" charset="0"/>
                <a:cs typeface="Calibri" panose="020F0502020204030204" pitchFamily="34" charset="0"/>
              </a:rPr>
              <a:t>The supporting functions required for maintaining the primary activities: E.g. finance and treasury, strategy, general administration</a:t>
            </a:r>
            <a:r>
              <a:rPr lang="fi-FI" sz="1100" baseline="0">
                <a:latin typeface="Calibri" panose="020F0502020204030204" pitchFamily="34" charset="0"/>
                <a:cs typeface="Calibri" panose="020F0502020204030204" pitchFamily="34" charset="0"/>
              </a:rPr>
              <a:t> and</a:t>
            </a:r>
            <a:r>
              <a:rPr lang="fi-FI" sz="1100">
                <a:latin typeface="Calibri" panose="020F0502020204030204" pitchFamily="34" charset="0"/>
                <a:cs typeface="Calibri" panose="020F0502020204030204" pitchFamily="34" charset="0"/>
              </a:rPr>
              <a:t> HR</a:t>
            </a:r>
          </a:p>
        </xdr:txBody>
      </xdr:sp>
      <xdr:sp macro="" textlink="">
        <xdr:nvSpPr>
          <xdr:cNvPr id="86" name="Ellipsi 85">
            <a:extLst>
              <a:ext uri="{FF2B5EF4-FFF2-40B4-BE49-F238E27FC236}">
                <a16:creationId xmlns:a16="http://schemas.microsoft.com/office/drawing/2014/main" id="{00000000-0008-0000-0000-000056000000}"/>
              </a:ext>
            </a:extLst>
          </xdr:cNvPr>
          <xdr:cNvSpPr/>
        </xdr:nvSpPr>
        <xdr:spPr>
          <a:xfrm>
            <a:off x="8662562" y="2903480"/>
            <a:ext cx="857447" cy="564023"/>
          </a:xfrm>
          <a:prstGeom prst="ellipse">
            <a:avLst/>
          </a:prstGeom>
          <a:solidFill>
            <a:schemeClr val="bg1"/>
          </a:solidFill>
          <a:ln w="38100">
            <a:solidFill>
              <a:srgbClr val="9FC9E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i-FI"/>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fi-FI" sz="1000"/>
          </a:p>
        </xdr:txBody>
      </xdr:sp>
      <xdr:sp macro="" textlink="">
        <xdr:nvSpPr>
          <xdr:cNvPr id="87" name="Tekstiruutu 43">
            <a:extLst>
              <a:ext uri="{FF2B5EF4-FFF2-40B4-BE49-F238E27FC236}">
                <a16:creationId xmlns:a16="http://schemas.microsoft.com/office/drawing/2014/main" id="{00000000-0008-0000-0000-000057000000}"/>
              </a:ext>
            </a:extLst>
          </xdr:cNvPr>
          <xdr:cNvSpPr txBox="1"/>
        </xdr:nvSpPr>
        <xdr:spPr>
          <a:xfrm>
            <a:off x="8792070" y="3057406"/>
            <a:ext cx="598429" cy="238252"/>
          </a:xfrm>
          <a:prstGeom prst="rect">
            <a:avLst/>
          </a:prstGeom>
          <a:noFill/>
        </xdr:spPr>
        <xdr:txBody>
          <a:bodyPr wrap="square" lIns="0" tIns="0" rIns="0" bIns="0" rtlCol="0" anchor="ctr">
            <a:spAutoFit/>
          </a:bodyPr>
          <a:lstStyle>
            <a:defPPr>
              <a:defRPr lang="fi-FI"/>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a:r>
              <a:rPr lang="fi-FI" sz="1200" b="1">
                <a:latin typeface="Calibri" panose="020F0502020204030204" pitchFamily="34" charset="0"/>
                <a:cs typeface="Calibri" panose="020F0502020204030204" pitchFamily="34" charset="0"/>
              </a:rPr>
              <a:t>Value</a:t>
            </a:r>
            <a:endParaRPr lang="fi-FI" sz="1600">
              <a:latin typeface="Calibri" panose="020F0502020204030204" pitchFamily="34" charset="0"/>
              <a:cs typeface="Calibri" panose="020F0502020204030204" pitchFamily="34" charset="0"/>
            </a:endParaRPr>
          </a:p>
        </xdr:txBody>
      </xdr:sp>
    </xdr:grpSp>
    <xdr:clientData/>
  </xdr:twoCellAnchor>
  <xdr:twoCellAnchor editAs="oneCell">
    <xdr:from>
      <xdr:col>16</xdr:col>
      <xdr:colOff>241300</xdr:colOff>
      <xdr:row>98</xdr:row>
      <xdr:rowOff>21166</xdr:rowOff>
    </xdr:from>
    <xdr:to>
      <xdr:col>16</xdr:col>
      <xdr:colOff>398433</xdr:colOff>
      <xdr:row>98</xdr:row>
      <xdr:rowOff>165166</xdr:rowOff>
    </xdr:to>
    <xdr:pic>
      <xdr:nvPicPr>
        <xdr:cNvPr id="94" name="Kuva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1"/>
        <a:stretch>
          <a:fillRect/>
        </a:stretch>
      </xdr:blipFill>
      <xdr:spPr>
        <a:xfrm>
          <a:off x="7988300" y="19922066"/>
          <a:ext cx="157133" cy="144000"/>
        </a:xfrm>
        <a:prstGeom prst="rect">
          <a:avLst/>
        </a:prstGeom>
        <a:ln>
          <a:solidFill>
            <a:schemeClr val="tx1"/>
          </a:solidFill>
        </a:ln>
      </xdr:spPr>
    </xdr:pic>
    <xdr:clientData/>
  </xdr:twoCellAnchor>
  <xdr:twoCellAnchor editAs="oneCell">
    <xdr:from>
      <xdr:col>16</xdr:col>
      <xdr:colOff>241300</xdr:colOff>
      <xdr:row>99</xdr:row>
      <xdr:rowOff>20949</xdr:rowOff>
    </xdr:from>
    <xdr:to>
      <xdr:col>16</xdr:col>
      <xdr:colOff>392982</xdr:colOff>
      <xdr:row>99</xdr:row>
      <xdr:rowOff>166309</xdr:rowOff>
    </xdr:to>
    <xdr:pic>
      <xdr:nvPicPr>
        <xdr:cNvPr id="95" name="Kuva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2"/>
        <a:stretch>
          <a:fillRect/>
        </a:stretch>
      </xdr:blipFill>
      <xdr:spPr>
        <a:xfrm>
          <a:off x="7988300" y="20105999"/>
          <a:ext cx="151682" cy="145360"/>
        </a:xfrm>
        <a:prstGeom prst="rect">
          <a:avLst/>
        </a:prstGeom>
        <a:ln>
          <a:solidFill>
            <a:schemeClr val="tx1"/>
          </a:solidFill>
        </a:ln>
      </xdr:spPr>
    </xdr:pic>
    <xdr:clientData/>
  </xdr:twoCellAnchor>
  <xdr:twoCellAnchor editAs="oneCell">
    <xdr:from>
      <xdr:col>16</xdr:col>
      <xdr:colOff>241300</xdr:colOff>
      <xdr:row>100</xdr:row>
      <xdr:rowOff>19050</xdr:rowOff>
    </xdr:from>
    <xdr:to>
      <xdr:col>16</xdr:col>
      <xdr:colOff>463561</xdr:colOff>
      <xdr:row>100</xdr:row>
      <xdr:rowOff>163050</xdr:rowOff>
    </xdr:to>
    <xdr:pic>
      <xdr:nvPicPr>
        <xdr:cNvPr id="96" name="Kuva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3"/>
        <a:stretch>
          <a:fillRect/>
        </a:stretch>
      </xdr:blipFill>
      <xdr:spPr>
        <a:xfrm>
          <a:off x="7988300" y="20288250"/>
          <a:ext cx="222261" cy="144000"/>
        </a:xfrm>
        <a:prstGeom prst="rect">
          <a:avLst/>
        </a:prstGeom>
        <a:ln>
          <a:solidFill>
            <a:schemeClr val="tx1"/>
          </a:solidFill>
        </a:ln>
      </xdr:spPr>
    </xdr:pic>
    <xdr:clientData/>
  </xdr:twoCellAnchor>
  <xdr:twoCellAnchor editAs="oneCell">
    <xdr:from>
      <xdr:col>12</xdr:col>
      <xdr:colOff>313871</xdr:colOff>
      <xdr:row>18</xdr:row>
      <xdr:rowOff>58965</xdr:rowOff>
    </xdr:from>
    <xdr:to>
      <xdr:col>15</xdr:col>
      <xdr:colOff>63500</xdr:colOff>
      <xdr:row>18</xdr:row>
      <xdr:rowOff>173540</xdr:rowOff>
    </xdr:to>
    <xdr:pic>
      <xdr:nvPicPr>
        <xdr:cNvPr id="97" name="Kuva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4"/>
        <a:stretch>
          <a:fillRect/>
        </a:stretch>
      </xdr:blipFill>
      <xdr:spPr>
        <a:xfrm>
          <a:off x="5616121" y="3560536"/>
          <a:ext cx="1572986" cy="114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3175</xdr:colOff>
      <xdr:row>14</xdr:row>
      <xdr:rowOff>0</xdr:rowOff>
    </xdr:from>
    <xdr:to>
      <xdr:col>3</xdr:col>
      <xdr:colOff>368300</xdr:colOff>
      <xdr:row>27</xdr:row>
      <xdr:rowOff>0</xdr:rowOff>
    </xdr:to>
    <xdr:graphicFrame macro="">
      <xdr:nvGraphicFramePr>
        <xdr:cNvPr id="4" name="Kaavio 3">
          <a:extLst>
            <a:ext uri="{FF2B5EF4-FFF2-40B4-BE49-F238E27FC236}">
              <a16:creationId xmlns:a16="http://schemas.microsoft.com/office/drawing/2014/main" id="{00000000-0008-0000-01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425450</xdr:colOff>
      <xdr:row>14</xdr:row>
      <xdr:rowOff>0</xdr:rowOff>
    </xdr:from>
    <xdr:to>
      <xdr:col>8</xdr:col>
      <xdr:colOff>117475</xdr:colOff>
      <xdr:row>27</xdr:row>
      <xdr:rowOff>6350</xdr:rowOff>
    </xdr:to>
    <xdr:graphicFrame macro="">
      <xdr:nvGraphicFramePr>
        <xdr:cNvPr id="5" name="Kaavio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12</xdr:col>
          <xdr:colOff>0</xdr:colOff>
          <xdr:row>20</xdr:row>
          <xdr:rowOff>0</xdr:rowOff>
        </xdr:to>
        <xdr:sp macro="" textlink="">
          <xdr:nvSpPr>
            <xdr:cNvPr id="13313" name="Scroll Bar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12</xdr:col>
          <xdr:colOff>0</xdr:colOff>
          <xdr:row>23</xdr:row>
          <xdr:rowOff>0</xdr:rowOff>
        </xdr:to>
        <xdr:sp macro="" textlink="">
          <xdr:nvSpPr>
            <xdr:cNvPr id="13314" name="Scroll Bar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12</xdr:col>
          <xdr:colOff>0</xdr:colOff>
          <xdr:row>24</xdr:row>
          <xdr:rowOff>0</xdr:rowOff>
        </xdr:to>
        <xdr:sp macro="" textlink="">
          <xdr:nvSpPr>
            <xdr:cNvPr id="13315" name="Scroll Bar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12</xdr:col>
          <xdr:colOff>0</xdr:colOff>
          <xdr:row>18</xdr:row>
          <xdr:rowOff>0</xdr:rowOff>
        </xdr:to>
        <xdr:sp macro="" textlink="">
          <xdr:nvSpPr>
            <xdr:cNvPr id="13316" name="Scroll Bar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12</xdr:col>
          <xdr:colOff>0</xdr:colOff>
          <xdr:row>21</xdr:row>
          <xdr:rowOff>0</xdr:rowOff>
        </xdr:to>
        <xdr:sp macro="" textlink="">
          <xdr:nvSpPr>
            <xdr:cNvPr id="13317" name="Scroll Bar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3318" name="Scroll Bar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9B1E2-C8A5-468A-A6E9-BF63461D3AB6}">
  <dimension ref="B1:S113"/>
  <sheetViews>
    <sheetView showGridLines="0" tabSelected="1" zoomScaleNormal="100" workbookViewId="0"/>
  </sheetViews>
  <sheetFormatPr defaultRowHeight="14.5" x14ac:dyDescent="0.35"/>
  <cols>
    <col min="1" max="3" width="2.6328125" style="87" customWidth="1"/>
    <col min="4" max="4" width="3.54296875" style="87" customWidth="1"/>
    <col min="5" max="5" width="3.453125" style="87" customWidth="1"/>
    <col min="6" max="17" width="8.7265625" style="87"/>
    <col min="18" max="18" width="3.453125" style="87" customWidth="1"/>
    <col min="19" max="19" width="3" style="87" customWidth="1"/>
    <col min="20" max="16384" width="8.7265625" style="87"/>
  </cols>
  <sheetData>
    <row r="1" spans="2:19" ht="5" customHeight="1" x14ac:dyDescent="0.35"/>
    <row r="2" spans="2:19" ht="33.5" x14ac:dyDescent="0.35">
      <c r="B2" s="88" t="s">
        <v>75</v>
      </c>
    </row>
    <row r="3" spans="2:19" ht="33.5" x14ac:dyDescent="0.35">
      <c r="B3" s="88" t="s">
        <v>74</v>
      </c>
    </row>
    <row r="4" spans="2:19" x14ac:dyDescent="0.35">
      <c r="B4" s="89"/>
      <c r="C4" s="89"/>
      <c r="D4" s="89"/>
      <c r="E4" s="89"/>
      <c r="F4" s="89"/>
      <c r="G4" s="89"/>
      <c r="H4" s="89"/>
      <c r="I4" s="89"/>
      <c r="J4" s="89"/>
      <c r="K4" s="89"/>
      <c r="L4" s="89"/>
      <c r="M4" s="89"/>
      <c r="N4" s="89"/>
      <c r="O4" s="89"/>
      <c r="P4" s="89"/>
      <c r="Q4" s="89"/>
      <c r="R4" s="89"/>
      <c r="S4" s="89"/>
    </row>
    <row r="5" spans="2:19" x14ac:dyDescent="0.35">
      <c r="B5" s="89"/>
      <c r="C5" s="96"/>
      <c r="D5" s="96"/>
      <c r="E5" s="96"/>
      <c r="F5" s="96"/>
      <c r="G5" s="96"/>
      <c r="H5" s="96"/>
      <c r="I5" s="96"/>
      <c r="J5" s="96"/>
      <c r="K5" s="96"/>
      <c r="L5" s="96"/>
      <c r="M5" s="96"/>
      <c r="N5" s="96"/>
      <c r="O5" s="96"/>
      <c r="P5" s="96"/>
      <c r="Q5" s="96"/>
      <c r="R5" s="96"/>
      <c r="S5" s="89"/>
    </row>
    <row r="6" spans="2:19" ht="17" customHeight="1" x14ac:dyDescent="0.35">
      <c r="B6" s="89"/>
      <c r="C6" s="96"/>
      <c r="D6" s="94" t="s">
        <v>14</v>
      </c>
      <c r="E6" s="96"/>
      <c r="F6" s="96"/>
      <c r="G6" s="96"/>
      <c r="H6" s="96"/>
      <c r="I6" s="96"/>
      <c r="J6" s="96"/>
      <c r="K6" s="96"/>
      <c r="L6" s="96"/>
      <c r="M6" s="96"/>
      <c r="N6" s="96"/>
      <c r="O6" s="96"/>
      <c r="P6" s="96"/>
      <c r="Q6" s="96"/>
      <c r="R6" s="96"/>
      <c r="S6" s="89"/>
    </row>
    <row r="7" spans="2:19" ht="17" customHeight="1" x14ac:dyDescent="0.35">
      <c r="B7" s="89"/>
      <c r="C7" s="96"/>
      <c r="D7" s="94"/>
      <c r="E7" s="96" t="s">
        <v>24</v>
      </c>
      <c r="F7" s="96"/>
      <c r="G7" s="96"/>
      <c r="H7" s="96"/>
      <c r="I7" s="96"/>
      <c r="J7" s="96"/>
      <c r="K7" s="96"/>
      <c r="L7" s="96"/>
      <c r="M7" s="96"/>
      <c r="N7" s="96"/>
      <c r="O7" s="96"/>
      <c r="P7" s="96"/>
      <c r="Q7" s="96"/>
      <c r="R7" s="96"/>
      <c r="S7" s="89"/>
    </row>
    <row r="8" spans="2:19" ht="17" customHeight="1" x14ac:dyDescent="0.35">
      <c r="B8" s="89"/>
      <c r="C8" s="96"/>
      <c r="D8" s="94"/>
      <c r="E8" s="96" t="s">
        <v>15</v>
      </c>
      <c r="F8" s="96"/>
      <c r="G8" s="96"/>
      <c r="H8" s="96"/>
      <c r="I8" s="96"/>
      <c r="J8" s="96"/>
      <c r="K8" s="96"/>
      <c r="L8" s="96"/>
      <c r="M8" s="96"/>
      <c r="N8" s="96"/>
      <c r="O8" s="96"/>
      <c r="P8" s="96"/>
      <c r="Q8" s="96"/>
      <c r="R8" s="96"/>
      <c r="S8" s="89"/>
    </row>
    <row r="9" spans="2:19" ht="17" customHeight="1" x14ac:dyDescent="0.35">
      <c r="B9" s="89"/>
      <c r="C9" s="96"/>
      <c r="D9" s="94"/>
      <c r="E9" s="96" t="s">
        <v>16</v>
      </c>
      <c r="F9" s="96"/>
      <c r="G9" s="96"/>
      <c r="H9" s="96"/>
      <c r="I9" s="96"/>
      <c r="J9" s="96"/>
      <c r="K9" s="96"/>
      <c r="L9" s="96"/>
      <c r="M9" s="96"/>
      <c r="N9" s="96"/>
      <c r="O9" s="96"/>
      <c r="P9" s="96"/>
      <c r="Q9" s="96"/>
      <c r="R9" s="96"/>
      <c r="S9" s="89"/>
    </row>
    <row r="10" spans="2:19" x14ac:dyDescent="0.35">
      <c r="B10" s="89"/>
      <c r="C10" s="96"/>
      <c r="D10" s="94"/>
      <c r="E10" s="96"/>
      <c r="F10" s="96"/>
      <c r="G10" s="96"/>
      <c r="H10" s="96"/>
      <c r="I10" s="96"/>
      <c r="J10" s="96"/>
      <c r="K10" s="96"/>
      <c r="L10" s="96"/>
      <c r="M10" s="96"/>
      <c r="N10" s="96"/>
      <c r="O10" s="96"/>
      <c r="P10" s="96"/>
      <c r="Q10" s="96"/>
      <c r="R10" s="96"/>
      <c r="S10" s="89"/>
    </row>
    <row r="11" spans="2:19" ht="17" customHeight="1" x14ac:dyDescent="0.35">
      <c r="B11" s="89"/>
      <c r="C11" s="96"/>
      <c r="D11" s="94" t="s">
        <v>17</v>
      </c>
      <c r="E11" s="96"/>
      <c r="F11" s="96"/>
      <c r="G11" s="96"/>
      <c r="H11" s="96"/>
      <c r="I11" s="96"/>
      <c r="J11" s="96"/>
      <c r="K11" s="96"/>
      <c r="L11" s="96"/>
      <c r="M11" s="96"/>
      <c r="N11" s="96"/>
      <c r="O11" s="96"/>
      <c r="P11" s="96"/>
      <c r="Q11" s="96"/>
      <c r="R11" s="96"/>
      <c r="S11" s="89"/>
    </row>
    <row r="12" spans="2:19" x14ac:dyDescent="0.35">
      <c r="B12" s="89"/>
      <c r="C12" s="96"/>
      <c r="D12" s="94"/>
      <c r="E12" s="100" t="s">
        <v>18</v>
      </c>
      <c r="F12" s="101"/>
      <c r="G12" s="101"/>
      <c r="H12" s="101" t="s">
        <v>21</v>
      </c>
      <c r="I12" s="101"/>
      <c r="J12" s="101"/>
      <c r="K12" s="101"/>
      <c r="L12" s="101"/>
      <c r="M12" s="101"/>
      <c r="N12" s="101"/>
      <c r="O12" s="101"/>
      <c r="P12" s="101"/>
      <c r="Q12" s="102"/>
      <c r="R12" s="96"/>
      <c r="S12" s="89"/>
    </row>
    <row r="13" spans="2:19" x14ac:dyDescent="0.35">
      <c r="B13" s="89"/>
      <c r="C13" s="96"/>
      <c r="D13" s="94"/>
      <c r="E13" s="103"/>
      <c r="F13" s="98"/>
      <c r="G13" s="98"/>
      <c r="H13" s="98" t="s">
        <v>22</v>
      </c>
      <c r="I13" s="98"/>
      <c r="J13" s="98"/>
      <c r="K13" s="98"/>
      <c r="L13" s="98"/>
      <c r="M13" s="98"/>
      <c r="N13" s="98"/>
      <c r="O13" s="98"/>
      <c r="P13" s="98"/>
      <c r="Q13" s="104"/>
      <c r="R13" s="96"/>
      <c r="S13" s="89"/>
    </row>
    <row r="14" spans="2:19" x14ac:dyDescent="0.35">
      <c r="B14" s="89"/>
      <c r="C14" s="96"/>
      <c r="D14" s="94"/>
      <c r="E14" s="105"/>
      <c r="F14" s="106"/>
      <c r="G14" s="106"/>
      <c r="H14" s="106" t="s">
        <v>23</v>
      </c>
      <c r="I14" s="106"/>
      <c r="J14" s="106"/>
      <c r="K14" s="106"/>
      <c r="L14" s="106"/>
      <c r="M14" s="106"/>
      <c r="N14" s="106"/>
      <c r="O14" s="106"/>
      <c r="P14" s="106"/>
      <c r="Q14" s="107"/>
      <c r="R14" s="96"/>
      <c r="S14" s="89"/>
    </row>
    <row r="15" spans="2:19" ht="17" customHeight="1" x14ac:dyDescent="0.35">
      <c r="B15" s="89"/>
      <c r="C15" s="96"/>
      <c r="D15" s="94"/>
      <c r="E15" s="100" t="s">
        <v>19</v>
      </c>
      <c r="F15" s="101"/>
      <c r="G15" s="101"/>
      <c r="H15" s="101" t="s">
        <v>25</v>
      </c>
      <c r="I15" s="101"/>
      <c r="J15" s="101"/>
      <c r="K15" s="101"/>
      <c r="L15" s="101"/>
      <c r="M15" s="101"/>
      <c r="N15" s="101"/>
      <c r="O15" s="101"/>
      <c r="P15" s="101"/>
      <c r="Q15" s="102"/>
      <c r="R15" s="96"/>
      <c r="S15" s="89"/>
    </row>
    <row r="16" spans="2:19" x14ac:dyDescent="0.35">
      <c r="B16" s="89"/>
      <c r="C16" s="96"/>
      <c r="D16" s="94"/>
      <c r="E16" s="103"/>
      <c r="F16" s="98"/>
      <c r="G16" s="98"/>
      <c r="H16" s="98" t="s">
        <v>26</v>
      </c>
      <c r="I16" s="98"/>
      <c r="J16" s="98"/>
      <c r="K16" s="98"/>
      <c r="L16" s="98"/>
      <c r="M16" s="98"/>
      <c r="N16" s="98"/>
      <c r="O16" s="98"/>
      <c r="P16" s="98"/>
      <c r="Q16" s="104"/>
      <c r="R16" s="96"/>
      <c r="S16" s="89"/>
    </row>
    <row r="17" spans="2:19" x14ac:dyDescent="0.35">
      <c r="B17" s="89"/>
      <c r="C17" s="96"/>
      <c r="D17" s="94"/>
      <c r="E17" s="105"/>
      <c r="F17" s="106"/>
      <c r="G17" s="106"/>
      <c r="H17" s="106" t="s">
        <v>216</v>
      </c>
      <c r="I17" s="106"/>
      <c r="J17" s="106"/>
      <c r="K17" s="106"/>
      <c r="L17" s="106"/>
      <c r="M17" s="106"/>
      <c r="N17" s="106"/>
      <c r="O17" s="106"/>
      <c r="P17" s="106"/>
      <c r="Q17" s="107"/>
      <c r="R17" s="96"/>
      <c r="S17" s="89"/>
    </row>
    <row r="18" spans="2:19" ht="17" customHeight="1" x14ac:dyDescent="0.35">
      <c r="B18" s="89"/>
      <c r="C18" s="96"/>
      <c r="D18" s="94"/>
      <c r="E18" s="100" t="s">
        <v>20</v>
      </c>
      <c r="F18" s="101"/>
      <c r="G18" s="101"/>
      <c r="H18" s="101" t="s">
        <v>27</v>
      </c>
      <c r="I18" s="101"/>
      <c r="J18" s="101"/>
      <c r="K18" s="101"/>
      <c r="L18" s="101"/>
      <c r="M18" s="101"/>
      <c r="N18" s="101"/>
      <c r="O18" s="101"/>
      <c r="P18" s="101"/>
      <c r="Q18" s="102"/>
      <c r="R18" s="96"/>
      <c r="S18" s="89"/>
    </row>
    <row r="19" spans="2:19" ht="17" customHeight="1" x14ac:dyDescent="0.35">
      <c r="B19" s="89"/>
      <c r="C19" s="96"/>
      <c r="D19" s="94"/>
      <c r="E19" s="103"/>
      <c r="F19" s="98"/>
      <c r="G19" s="98"/>
      <c r="H19" s="98" t="s">
        <v>28</v>
      </c>
      <c r="I19" s="98"/>
      <c r="J19" s="98"/>
      <c r="K19" s="98"/>
      <c r="L19" s="98"/>
      <c r="M19" s="98"/>
      <c r="N19" s="98"/>
      <c r="O19" s="98"/>
      <c r="P19" s="98"/>
      <c r="Q19" s="104"/>
      <c r="R19" s="96"/>
      <c r="S19" s="89"/>
    </row>
    <row r="20" spans="2:19" ht="17" customHeight="1" x14ac:dyDescent="0.35">
      <c r="B20" s="89"/>
      <c r="C20" s="96"/>
      <c r="D20" s="94"/>
      <c r="E20" s="105"/>
      <c r="F20" s="106"/>
      <c r="G20" s="106"/>
      <c r="H20" s="106" t="s">
        <v>217</v>
      </c>
      <c r="I20" s="106"/>
      <c r="J20" s="106"/>
      <c r="K20" s="106"/>
      <c r="L20" s="106"/>
      <c r="M20" s="106"/>
      <c r="N20" s="106"/>
      <c r="O20" s="106"/>
      <c r="P20" s="106"/>
      <c r="Q20" s="107"/>
      <c r="R20" s="96"/>
      <c r="S20" s="89"/>
    </row>
    <row r="21" spans="2:19" x14ac:dyDescent="0.35">
      <c r="B21" s="89"/>
      <c r="C21" s="96"/>
      <c r="D21" s="94"/>
      <c r="E21" s="96"/>
      <c r="F21" s="96"/>
      <c r="G21" s="96"/>
      <c r="H21" s="96"/>
      <c r="I21" s="96"/>
      <c r="J21" s="96"/>
      <c r="K21" s="96"/>
      <c r="L21" s="96"/>
      <c r="M21" s="96"/>
      <c r="N21" s="96"/>
      <c r="O21" s="96"/>
      <c r="P21" s="96"/>
      <c r="Q21" s="96"/>
      <c r="R21" s="96"/>
      <c r="S21" s="89"/>
    </row>
    <row r="22" spans="2:19" ht="17" customHeight="1" x14ac:dyDescent="0.35">
      <c r="B22" s="89"/>
      <c r="C22" s="96"/>
      <c r="D22" s="94" t="s">
        <v>29</v>
      </c>
      <c r="E22" s="96"/>
      <c r="F22" s="96"/>
      <c r="G22" s="96"/>
      <c r="H22" s="96"/>
      <c r="I22" s="96"/>
      <c r="J22" s="96"/>
      <c r="K22" s="96"/>
      <c r="L22" s="96"/>
      <c r="M22" s="96"/>
      <c r="N22" s="96"/>
      <c r="O22" s="96"/>
      <c r="P22" s="96"/>
      <c r="Q22" s="96"/>
      <c r="R22" s="96"/>
      <c r="S22" s="89"/>
    </row>
    <row r="23" spans="2:19" ht="29" customHeight="1" x14ac:dyDescent="0.35">
      <c r="B23" s="89"/>
      <c r="C23" s="96"/>
      <c r="D23" s="96"/>
      <c r="E23" s="120" t="s">
        <v>30</v>
      </c>
      <c r="F23" s="120"/>
      <c r="G23" s="120"/>
      <c r="H23" s="120"/>
      <c r="I23" s="120"/>
      <c r="J23" s="120"/>
      <c r="K23" s="120"/>
      <c r="L23" s="120"/>
      <c r="M23" s="120"/>
      <c r="N23" s="120"/>
      <c r="O23" s="120"/>
      <c r="P23" s="120"/>
      <c r="Q23" s="120"/>
      <c r="R23" s="96"/>
      <c r="S23" s="89"/>
    </row>
    <row r="24" spans="2:19" x14ac:dyDescent="0.35">
      <c r="B24" s="89"/>
      <c r="C24" s="96"/>
      <c r="D24" s="96"/>
      <c r="E24" s="99"/>
      <c r="F24" s="99"/>
      <c r="G24" s="99"/>
      <c r="H24" s="99"/>
      <c r="I24" s="99"/>
      <c r="J24" s="99"/>
      <c r="K24" s="99"/>
      <c r="L24" s="99"/>
      <c r="M24" s="99"/>
      <c r="N24" s="99"/>
      <c r="O24" s="99"/>
      <c r="P24" s="99"/>
      <c r="Q24" s="99"/>
      <c r="R24" s="96"/>
      <c r="S24" s="89"/>
    </row>
    <row r="25" spans="2:19" x14ac:dyDescent="0.35">
      <c r="B25" s="89"/>
      <c r="C25" s="89"/>
      <c r="D25" s="91"/>
      <c r="E25" s="89"/>
      <c r="F25" s="89"/>
      <c r="G25" s="89"/>
      <c r="H25" s="89"/>
      <c r="I25" s="89"/>
      <c r="J25" s="89"/>
      <c r="K25" s="89"/>
      <c r="L25" s="89"/>
      <c r="M25" s="89"/>
      <c r="N25" s="89"/>
      <c r="O25" s="89"/>
      <c r="P25" s="89"/>
      <c r="Q25" s="89"/>
      <c r="R25" s="89"/>
      <c r="S25" s="89"/>
    </row>
    <row r="26" spans="2:19" x14ac:dyDescent="0.35">
      <c r="B26" s="89"/>
      <c r="C26" s="96"/>
      <c r="D26" s="94"/>
      <c r="E26" s="96"/>
      <c r="F26" s="96"/>
      <c r="G26" s="96"/>
      <c r="H26" s="96"/>
      <c r="I26" s="96"/>
      <c r="J26" s="96"/>
      <c r="K26" s="96"/>
      <c r="L26" s="96"/>
      <c r="M26" s="96"/>
      <c r="N26" s="96"/>
      <c r="O26" s="96"/>
      <c r="P26" s="96"/>
      <c r="Q26" s="96"/>
      <c r="R26" s="96"/>
      <c r="S26" s="89"/>
    </row>
    <row r="27" spans="2:19" x14ac:dyDescent="0.35">
      <c r="B27" s="89"/>
      <c r="C27" s="96"/>
      <c r="D27" s="94" t="s">
        <v>31</v>
      </c>
      <c r="E27" s="96"/>
      <c r="F27" s="96"/>
      <c r="G27" s="96"/>
      <c r="H27" s="96"/>
      <c r="I27" s="96"/>
      <c r="J27" s="96"/>
      <c r="K27" s="96"/>
      <c r="L27" s="96"/>
      <c r="M27" s="96"/>
      <c r="N27" s="96"/>
      <c r="O27" s="96"/>
      <c r="P27" s="96"/>
      <c r="Q27" s="96"/>
      <c r="R27" s="96"/>
      <c r="S27" s="89"/>
    </row>
    <row r="28" spans="2:19" s="90" customFormat="1" ht="17" customHeight="1" x14ac:dyDescent="0.35">
      <c r="B28" s="91"/>
      <c r="C28" s="94"/>
      <c r="D28" s="94" t="s">
        <v>32</v>
      </c>
      <c r="E28" s="94"/>
      <c r="F28" s="94"/>
      <c r="G28" s="94"/>
      <c r="H28" s="94"/>
      <c r="I28" s="94"/>
      <c r="J28" s="94"/>
      <c r="K28" s="94"/>
      <c r="L28" s="94"/>
      <c r="M28" s="94"/>
      <c r="N28" s="94"/>
      <c r="O28" s="94"/>
      <c r="P28" s="94"/>
      <c r="Q28" s="94"/>
      <c r="R28" s="94"/>
      <c r="S28" s="91"/>
    </row>
    <row r="29" spans="2:19" s="92" customFormat="1" ht="17" customHeight="1" x14ac:dyDescent="0.35">
      <c r="B29" s="93"/>
      <c r="C29" s="95"/>
      <c r="D29" s="95"/>
      <c r="E29" s="95" t="s">
        <v>8</v>
      </c>
      <c r="F29" s="95" t="s">
        <v>33</v>
      </c>
      <c r="G29" s="95"/>
      <c r="H29" s="95"/>
      <c r="I29" s="95"/>
      <c r="J29" s="95"/>
      <c r="K29" s="95"/>
      <c r="L29" s="95"/>
      <c r="M29" s="95"/>
      <c r="N29" s="95"/>
      <c r="O29" s="95"/>
      <c r="P29" s="95"/>
      <c r="Q29" s="95"/>
      <c r="R29" s="95"/>
      <c r="S29" s="93"/>
    </row>
    <row r="30" spans="2:19" s="92" customFormat="1" ht="17" customHeight="1" x14ac:dyDescent="0.35">
      <c r="B30" s="93"/>
      <c r="C30" s="95"/>
      <c r="D30" s="95"/>
      <c r="E30" s="95" t="s">
        <v>9</v>
      </c>
      <c r="F30" s="95" t="s">
        <v>34</v>
      </c>
      <c r="G30" s="95"/>
      <c r="H30" s="95"/>
      <c r="I30" s="95"/>
      <c r="J30" s="95"/>
      <c r="K30" s="95"/>
      <c r="L30" s="95"/>
      <c r="M30" s="95"/>
      <c r="N30" s="95"/>
      <c r="O30" s="95"/>
      <c r="P30" s="95"/>
      <c r="Q30" s="95"/>
      <c r="R30" s="95"/>
      <c r="S30" s="93"/>
    </row>
    <row r="31" spans="2:19" s="92" customFormat="1" ht="17" customHeight="1" x14ac:dyDescent="0.35">
      <c r="B31" s="93"/>
      <c r="C31" s="95"/>
      <c r="D31" s="95"/>
      <c r="E31" s="95" t="s">
        <v>10</v>
      </c>
      <c r="F31" s="95" t="s">
        <v>35</v>
      </c>
      <c r="G31" s="95"/>
      <c r="H31" s="95"/>
      <c r="I31" s="95"/>
      <c r="J31" s="95"/>
      <c r="K31" s="95"/>
      <c r="L31" s="95"/>
      <c r="M31" s="95"/>
      <c r="N31" s="95"/>
      <c r="O31" s="95"/>
      <c r="P31" s="95"/>
      <c r="Q31" s="95"/>
      <c r="R31" s="95"/>
      <c r="S31" s="93"/>
    </row>
    <row r="32" spans="2:19" s="92" customFormat="1" ht="17" customHeight="1" x14ac:dyDescent="0.35">
      <c r="B32" s="93"/>
      <c r="C32" s="95"/>
      <c r="D32" s="95"/>
      <c r="E32" s="95" t="s">
        <v>11</v>
      </c>
      <c r="F32" s="95" t="s">
        <v>36</v>
      </c>
      <c r="G32" s="95"/>
      <c r="H32" s="95"/>
      <c r="I32" s="95"/>
      <c r="J32" s="95"/>
      <c r="K32" s="95"/>
      <c r="L32" s="95"/>
      <c r="M32" s="95"/>
      <c r="N32" s="95"/>
      <c r="O32" s="95"/>
      <c r="P32" s="95"/>
      <c r="Q32" s="95"/>
      <c r="R32" s="95"/>
      <c r="S32" s="93"/>
    </row>
    <row r="33" spans="2:19" x14ac:dyDescent="0.35">
      <c r="B33" s="89"/>
      <c r="C33" s="96"/>
      <c r="D33" s="96"/>
      <c r="E33" s="96"/>
      <c r="F33" s="96"/>
      <c r="G33" s="96"/>
      <c r="H33" s="96"/>
      <c r="I33" s="96"/>
      <c r="J33" s="96"/>
      <c r="K33" s="96"/>
      <c r="L33" s="96"/>
      <c r="M33" s="96"/>
      <c r="N33" s="96"/>
      <c r="O33" s="96"/>
      <c r="P33" s="96"/>
      <c r="Q33" s="96"/>
      <c r="R33" s="96"/>
      <c r="S33" s="89"/>
    </row>
    <row r="34" spans="2:19" x14ac:dyDescent="0.35">
      <c r="B34" s="89"/>
      <c r="C34" s="96"/>
      <c r="D34" s="94" t="s">
        <v>37</v>
      </c>
      <c r="E34" s="96"/>
      <c r="F34" s="96"/>
      <c r="G34" s="96"/>
      <c r="H34" s="96"/>
      <c r="I34" s="96"/>
      <c r="J34" s="96"/>
      <c r="K34" s="96"/>
      <c r="L34" s="96"/>
      <c r="M34" s="96"/>
      <c r="N34" s="96"/>
      <c r="O34" s="96"/>
      <c r="P34" s="96"/>
      <c r="Q34" s="96"/>
      <c r="R34" s="96"/>
      <c r="S34" s="89"/>
    </row>
    <row r="35" spans="2:19" ht="28.5" customHeight="1" x14ac:dyDescent="0.35">
      <c r="B35" s="89"/>
      <c r="C35" s="96"/>
      <c r="D35" s="96"/>
      <c r="E35" s="120" t="s">
        <v>38</v>
      </c>
      <c r="F35" s="120"/>
      <c r="G35" s="120"/>
      <c r="H35" s="120"/>
      <c r="I35" s="120"/>
      <c r="J35" s="120"/>
      <c r="K35" s="120"/>
      <c r="L35" s="120"/>
      <c r="M35" s="120"/>
      <c r="N35" s="120"/>
      <c r="O35" s="120"/>
      <c r="P35" s="120"/>
      <c r="Q35" s="120"/>
      <c r="R35" s="96"/>
      <c r="S35" s="89"/>
    </row>
    <row r="36" spans="2:19" x14ac:dyDescent="0.35">
      <c r="B36" s="89"/>
      <c r="C36" s="96"/>
      <c r="D36" s="96"/>
      <c r="E36" s="96"/>
      <c r="F36" s="96"/>
      <c r="G36" s="96"/>
      <c r="H36" s="96"/>
      <c r="I36" s="96"/>
      <c r="J36" s="96"/>
      <c r="K36" s="96"/>
      <c r="L36" s="96"/>
      <c r="M36" s="96"/>
      <c r="N36" s="96"/>
      <c r="O36" s="96"/>
      <c r="P36" s="96"/>
      <c r="Q36" s="96"/>
      <c r="R36" s="96"/>
      <c r="S36" s="89"/>
    </row>
    <row r="37" spans="2:19" x14ac:dyDescent="0.35">
      <c r="B37" s="89"/>
      <c r="C37" s="89"/>
      <c r="D37" s="89"/>
      <c r="E37" s="89"/>
      <c r="F37" s="89"/>
      <c r="G37" s="89"/>
      <c r="H37" s="89"/>
      <c r="I37" s="89"/>
      <c r="J37" s="89"/>
      <c r="K37" s="89"/>
      <c r="L37" s="89"/>
      <c r="M37" s="89"/>
      <c r="N37" s="89"/>
      <c r="O37" s="89"/>
      <c r="P37" s="89"/>
      <c r="Q37" s="89"/>
      <c r="R37" s="89"/>
      <c r="S37" s="89"/>
    </row>
    <row r="38" spans="2:19" x14ac:dyDescent="0.35">
      <c r="B38" s="89"/>
      <c r="C38" s="96"/>
      <c r="D38" s="96"/>
      <c r="E38" s="96"/>
      <c r="F38" s="96"/>
      <c r="G38" s="96"/>
      <c r="H38" s="96"/>
      <c r="I38" s="96"/>
      <c r="J38" s="96"/>
      <c r="K38" s="96"/>
      <c r="L38" s="96"/>
      <c r="M38" s="96"/>
      <c r="N38" s="96"/>
      <c r="O38" s="96"/>
      <c r="P38" s="96"/>
      <c r="Q38" s="96"/>
      <c r="R38" s="96"/>
      <c r="S38" s="89"/>
    </row>
    <row r="39" spans="2:19" x14ac:dyDescent="0.35">
      <c r="B39" s="89"/>
      <c r="C39" s="96"/>
      <c r="D39" s="94" t="s">
        <v>39</v>
      </c>
      <c r="E39" s="96"/>
      <c r="F39" s="96"/>
      <c r="G39" s="96"/>
      <c r="H39" s="96"/>
      <c r="I39" s="96"/>
      <c r="J39" s="96"/>
      <c r="K39" s="96"/>
      <c r="L39" s="96"/>
      <c r="M39" s="96"/>
      <c r="N39" s="96"/>
      <c r="O39" s="96"/>
      <c r="P39" s="96"/>
      <c r="Q39" s="96"/>
      <c r="R39" s="96"/>
      <c r="S39" s="89"/>
    </row>
    <row r="40" spans="2:19" ht="17" customHeight="1" x14ac:dyDescent="0.35">
      <c r="B40" s="89"/>
      <c r="C40" s="96"/>
      <c r="D40" s="94" t="s">
        <v>40</v>
      </c>
      <c r="E40" s="96"/>
      <c r="F40" s="96"/>
      <c r="G40" s="96"/>
      <c r="H40" s="96"/>
      <c r="I40" s="96"/>
      <c r="J40" s="96"/>
      <c r="K40" s="96"/>
      <c r="L40" s="96"/>
      <c r="M40" s="96"/>
      <c r="N40" s="96"/>
      <c r="O40" s="96"/>
      <c r="P40" s="96"/>
      <c r="Q40" s="96"/>
      <c r="R40" s="96"/>
      <c r="S40" s="89"/>
    </row>
    <row r="41" spans="2:19" ht="17" customHeight="1" x14ac:dyDescent="0.35">
      <c r="B41" s="89"/>
      <c r="C41" s="96"/>
      <c r="D41" s="96"/>
      <c r="E41" s="96" t="s">
        <v>8</v>
      </c>
      <c r="F41" s="96" t="s">
        <v>41</v>
      </c>
      <c r="G41" s="96"/>
      <c r="H41" s="96"/>
      <c r="I41" s="96"/>
      <c r="J41" s="96"/>
      <c r="K41" s="96"/>
      <c r="L41" s="96"/>
      <c r="M41" s="96"/>
      <c r="N41" s="96"/>
      <c r="O41" s="96"/>
      <c r="P41" s="96"/>
      <c r="Q41" s="96"/>
      <c r="R41" s="96"/>
      <c r="S41" s="89"/>
    </row>
    <row r="42" spans="2:19" ht="17" customHeight="1" x14ac:dyDescent="0.35">
      <c r="B42" s="89"/>
      <c r="C42" s="96"/>
      <c r="D42" s="96"/>
      <c r="E42" s="96" t="s">
        <v>9</v>
      </c>
      <c r="F42" s="96" t="s">
        <v>42</v>
      </c>
      <c r="G42" s="96"/>
      <c r="H42" s="96"/>
      <c r="I42" s="96"/>
      <c r="J42" s="96"/>
      <c r="K42" s="96"/>
      <c r="L42" s="96"/>
      <c r="M42" s="96"/>
      <c r="N42" s="96"/>
      <c r="O42" s="96"/>
      <c r="P42" s="96"/>
      <c r="Q42" s="96"/>
      <c r="R42" s="96"/>
      <c r="S42" s="89"/>
    </row>
    <row r="43" spans="2:19" ht="17" customHeight="1" x14ac:dyDescent="0.35">
      <c r="B43" s="89"/>
      <c r="C43" s="96"/>
      <c r="D43" s="96"/>
      <c r="E43" s="96" t="s">
        <v>10</v>
      </c>
      <c r="F43" s="96" t="s">
        <v>43</v>
      </c>
      <c r="G43" s="96"/>
      <c r="H43" s="96"/>
      <c r="I43" s="96"/>
      <c r="J43" s="96"/>
      <c r="K43" s="96"/>
      <c r="L43" s="96"/>
      <c r="M43" s="96"/>
      <c r="N43" s="96"/>
      <c r="O43" s="96"/>
      <c r="P43" s="96"/>
      <c r="Q43" s="96"/>
      <c r="R43" s="96"/>
      <c r="S43" s="89"/>
    </row>
    <row r="44" spans="2:19" x14ac:dyDescent="0.35">
      <c r="B44" s="89"/>
      <c r="C44" s="96"/>
      <c r="D44" s="96"/>
      <c r="E44" s="96"/>
      <c r="F44" s="96"/>
      <c r="G44" s="96"/>
      <c r="H44" s="96"/>
      <c r="I44" s="96"/>
      <c r="J44" s="96"/>
      <c r="K44" s="96"/>
      <c r="L44" s="96"/>
      <c r="M44" s="96"/>
      <c r="N44" s="96"/>
      <c r="O44" s="96"/>
      <c r="P44" s="96"/>
      <c r="Q44" s="96"/>
      <c r="R44" s="96"/>
      <c r="S44" s="89"/>
    </row>
    <row r="45" spans="2:19" ht="30.5" customHeight="1" x14ac:dyDescent="0.35">
      <c r="B45" s="89"/>
      <c r="C45" s="96"/>
      <c r="D45" s="120" t="s">
        <v>44</v>
      </c>
      <c r="E45" s="120"/>
      <c r="F45" s="120"/>
      <c r="G45" s="120"/>
      <c r="H45" s="120"/>
      <c r="I45" s="120"/>
      <c r="J45" s="120"/>
      <c r="K45" s="120"/>
      <c r="L45" s="120"/>
      <c r="M45" s="120"/>
      <c r="N45" s="120"/>
      <c r="O45" s="120"/>
      <c r="P45" s="120"/>
      <c r="Q45" s="120"/>
      <c r="R45" s="96"/>
      <c r="S45" s="89"/>
    </row>
    <row r="46" spans="2:19" x14ac:dyDescent="0.35">
      <c r="B46" s="89"/>
      <c r="C46" s="96"/>
      <c r="D46" s="97"/>
      <c r="E46" s="96"/>
      <c r="F46" s="96"/>
      <c r="G46" s="96"/>
      <c r="H46" s="96"/>
      <c r="I46" s="96"/>
      <c r="J46" s="96"/>
      <c r="K46" s="96"/>
      <c r="L46" s="96"/>
      <c r="M46" s="96"/>
      <c r="N46" s="96"/>
      <c r="O46" s="96"/>
      <c r="P46" s="96"/>
      <c r="Q46" s="96"/>
      <c r="R46" s="96"/>
      <c r="S46" s="89"/>
    </row>
    <row r="47" spans="2:19" x14ac:dyDescent="0.35">
      <c r="B47" s="89"/>
      <c r="C47" s="96"/>
      <c r="D47" s="96"/>
      <c r="E47" s="96"/>
      <c r="F47" s="96"/>
      <c r="G47" s="96"/>
      <c r="H47" s="96"/>
      <c r="I47" s="96"/>
      <c r="J47" s="96"/>
      <c r="K47" s="96"/>
      <c r="L47" s="96"/>
      <c r="M47" s="96"/>
      <c r="N47" s="96"/>
      <c r="O47" s="96"/>
      <c r="P47" s="96"/>
      <c r="Q47" s="96"/>
      <c r="R47" s="96"/>
      <c r="S47" s="89"/>
    </row>
    <row r="48" spans="2:19" x14ac:dyDescent="0.35">
      <c r="B48" s="89"/>
      <c r="C48" s="96"/>
      <c r="D48" s="96"/>
      <c r="E48" s="96"/>
      <c r="F48" s="96"/>
      <c r="G48" s="96"/>
      <c r="H48" s="96"/>
      <c r="I48" s="96"/>
      <c r="J48" s="96"/>
      <c r="K48" s="96"/>
      <c r="L48" s="96"/>
      <c r="M48" s="96"/>
      <c r="N48" s="96"/>
      <c r="O48" s="96"/>
      <c r="P48" s="96"/>
      <c r="Q48" s="96"/>
      <c r="R48" s="96"/>
      <c r="S48" s="89"/>
    </row>
    <row r="49" spans="2:19" x14ac:dyDescent="0.35">
      <c r="B49" s="89"/>
      <c r="C49" s="96"/>
      <c r="D49" s="96"/>
      <c r="E49" s="96"/>
      <c r="F49" s="96"/>
      <c r="G49" s="96"/>
      <c r="H49" s="96"/>
      <c r="I49" s="96"/>
      <c r="J49" s="96"/>
      <c r="K49" s="96"/>
      <c r="L49" s="96"/>
      <c r="M49" s="96"/>
      <c r="N49" s="96"/>
      <c r="O49" s="96"/>
      <c r="P49" s="96"/>
      <c r="Q49" s="96"/>
      <c r="R49" s="96"/>
      <c r="S49" s="89"/>
    </row>
    <row r="50" spans="2:19" x14ac:dyDescent="0.35">
      <c r="B50" s="89"/>
      <c r="C50" s="96"/>
      <c r="D50" s="96"/>
      <c r="E50" s="96"/>
      <c r="F50" s="96"/>
      <c r="G50" s="96"/>
      <c r="H50" s="96"/>
      <c r="I50" s="96"/>
      <c r="J50" s="96"/>
      <c r="K50" s="96"/>
      <c r="L50" s="96"/>
      <c r="M50" s="96"/>
      <c r="N50" s="96"/>
      <c r="O50" s="96"/>
      <c r="P50" s="96"/>
      <c r="Q50" s="96"/>
      <c r="R50" s="96"/>
      <c r="S50" s="89"/>
    </row>
    <row r="51" spans="2:19" x14ac:dyDescent="0.35">
      <c r="B51" s="89"/>
      <c r="C51" s="96"/>
      <c r="D51" s="96"/>
      <c r="E51" s="96"/>
      <c r="F51" s="96"/>
      <c r="G51" s="96"/>
      <c r="H51" s="96"/>
      <c r="I51" s="96"/>
      <c r="J51" s="96"/>
      <c r="K51" s="96"/>
      <c r="L51" s="96"/>
      <c r="M51" s="96"/>
      <c r="N51" s="96"/>
      <c r="O51" s="96"/>
      <c r="P51" s="96"/>
      <c r="Q51" s="96"/>
      <c r="R51" s="96"/>
      <c r="S51" s="89"/>
    </row>
    <row r="52" spans="2:19" x14ac:dyDescent="0.35">
      <c r="B52" s="89"/>
      <c r="C52" s="96"/>
      <c r="D52" s="96"/>
      <c r="E52" s="96"/>
      <c r="F52" s="96"/>
      <c r="G52" s="96"/>
      <c r="H52" s="96"/>
      <c r="I52" s="96"/>
      <c r="J52" s="96"/>
      <c r="K52" s="96"/>
      <c r="L52" s="96"/>
      <c r="M52" s="96"/>
      <c r="N52" s="96"/>
      <c r="O52" s="96"/>
      <c r="P52" s="96"/>
      <c r="Q52" s="96"/>
      <c r="R52" s="96"/>
      <c r="S52" s="89"/>
    </row>
    <row r="53" spans="2:19" x14ac:dyDescent="0.35">
      <c r="B53" s="89"/>
      <c r="C53" s="96"/>
      <c r="D53" s="96"/>
      <c r="E53" s="96"/>
      <c r="F53" s="96"/>
      <c r="G53" s="96"/>
      <c r="H53" s="96"/>
      <c r="I53" s="96"/>
      <c r="J53" s="96"/>
      <c r="K53" s="96"/>
      <c r="L53" s="96"/>
      <c r="M53" s="96"/>
      <c r="N53" s="96"/>
      <c r="O53" s="96"/>
      <c r="P53" s="96"/>
      <c r="Q53" s="96"/>
      <c r="R53" s="96"/>
      <c r="S53" s="89"/>
    </row>
    <row r="54" spans="2:19" x14ac:dyDescent="0.35">
      <c r="B54" s="89"/>
      <c r="C54" s="96"/>
      <c r="D54" s="96"/>
      <c r="E54" s="96"/>
      <c r="F54" s="96"/>
      <c r="G54" s="96"/>
      <c r="H54" s="96"/>
      <c r="I54" s="96"/>
      <c r="J54" s="96"/>
      <c r="K54" s="96"/>
      <c r="L54" s="96"/>
      <c r="M54" s="96"/>
      <c r="N54" s="96"/>
      <c r="O54" s="96"/>
      <c r="P54" s="96"/>
      <c r="Q54" s="96"/>
      <c r="R54" s="96"/>
      <c r="S54" s="89"/>
    </row>
    <row r="55" spans="2:19" x14ac:dyDescent="0.35">
      <c r="B55" s="89"/>
      <c r="C55" s="96"/>
      <c r="D55" s="96"/>
      <c r="E55" s="96"/>
      <c r="F55" s="96"/>
      <c r="G55" s="96"/>
      <c r="H55" s="96"/>
      <c r="I55" s="96"/>
      <c r="J55" s="96"/>
      <c r="K55" s="96"/>
      <c r="L55" s="96"/>
      <c r="M55" s="96"/>
      <c r="N55" s="96"/>
      <c r="O55" s="96"/>
      <c r="P55" s="96"/>
      <c r="Q55" s="96"/>
      <c r="R55" s="96"/>
      <c r="S55" s="89"/>
    </row>
    <row r="56" spans="2:19" x14ac:dyDescent="0.35">
      <c r="B56" s="89"/>
      <c r="C56" s="96"/>
      <c r="D56" s="96"/>
      <c r="E56" s="96"/>
      <c r="F56" s="96"/>
      <c r="G56" s="96"/>
      <c r="H56" s="96"/>
      <c r="I56" s="96"/>
      <c r="J56" s="96"/>
      <c r="K56" s="96"/>
      <c r="L56" s="96"/>
      <c r="M56" s="96"/>
      <c r="N56" s="96"/>
      <c r="O56" s="96"/>
      <c r="P56" s="96"/>
      <c r="Q56" s="96"/>
      <c r="R56" s="96"/>
      <c r="S56" s="89"/>
    </row>
    <row r="57" spans="2:19" x14ac:dyDescent="0.35">
      <c r="B57" s="89"/>
      <c r="C57" s="96"/>
      <c r="D57" s="96"/>
      <c r="E57" s="96"/>
      <c r="F57" s="96"/>
      <c r="G57" s="96"/>
      <c r="H57" s="96"/>
      <c r="I57" s="96"/>
      <c r="J57" s="96"/>
      <c r="K57" s="96"/>
      <c r="L57" s="96"/>
      <c r="M57" s="96"/>
      <c r="N57" s="96"/>
      <c r="O57" s="96"/>
      <c r="P57" s="96"/>
      <c r="Q57" s="96"/>
      <c r="R57" s="96"/>
      <c r="S57" s="89"/>
    </row>
    <row r="58" spans="2:19" x14ac:dyDescent="0.35">
      <c r="B58" s="89"/>
      <c r="C58" s="96"/>
      <c r="D58" s="96"/>
      <c r="E58" s="96"/>
      <c r="F58" s="96"/>
      <c r="G58" s="96"/>
      <c r="H58" s="96"/>
      <c r="I58" s="96"/>
      <c r="J58" s="96"/>
      <c r="K58" s="96"/>
      <c r="L58" s="96"/>
      <c r="M58" s="96"/>
      <c r="N58" s="96"/>
      <c r="O58" s="96"/>
      <c r="P58" s="96"/>
      <c r="Q58" s="96"/>
      <c r="R58" s="96"/>
      <c r="S58" s="89"/>
    </row>
    <row r="59" spans="2:19" x14ac:dyDescent="0.35">
      <c r="B59" s="89"/>
      <c r="C59" s="96"/>
      <c r="D59" s="96"/>
      <c r="E59" s="96"/>
      <c r="F59" s="96"/>
      <c r="G59" s="96"/>
      <c r="H59" s="96"/>
      <c r="I59" s="96"/>
      <c r="J59" s="96"/>
      <c r="K59" s="96"/>
      <c r="L59" s="96"/>
      <c r="M59" s="96"/>
      <c r="N59" s="96"/>
      <c r="O59" s="96"/>
      <c r="P59" s="96"/>
      <c r="Q59" s="96"/>
      <c r="R59" s="96"/>
      <c r="S59" s="89"/>
    </row>
    <row r="60" spans="2:19" x14ac:dyDescent="0.35">
      <c r="B60" s="89"/>
      <c r="C60" s="96"/>
      <c r="D60" s="96"/>
      <c r="E60" s="96"/>
      <c r="F60" s="96"/>
      <c r="G60" s="96"/>
      <c r="H60" s="96"/>
      <c r="I60" s="96"/>
      <c r="J60" s="96"/>
      <c r="K60" s="96"/>
      <c r="L60" s="96"/>
      <c r="M60" s="96"/>
      <c r="N60" s="96"/>
      <c r="O60" s="96"/>
      <c r="P60" s="96"/>
      <c r="Q60" s="96"/>
      <c r="R60" s="96"/>
      <c r="S60" s="89"/>
    </row>
    <row r="61" spans="2:19" x14ac:dyDescent="0.35">
      <c r="B61" s="89"/>
      <c r="C61" s="96"/>
      <c r="D61" s="96"/>
      <c r="E61" s="96"/>
      <c r="F61" s="96"/>
      <c r="G61" s="96"/>
      <c r="H61" s="96"/>
      <c r="I61" s="96"/>
      <c r="J61" s="96"/>
      <c r="K61" s="96"/>
      <c r="L61" s="96"/>
      <c r="M61" s="96"/>
      <c r="N61" s="96"/>
      <c r="O61" s="96"/>
      <c r="P61" s="96"/>
      <c r="Q61" s="96"/>
      <c r="R61" s="96"/>
      <c r="S61" s="89"/>
    </row>
    <row r="62" spans="2:19" x14ac:dyDescent="0.35">
      <c r="B62" s="89"/>
      <c r="C62" s="96"/>
      <c r="D62" s="96"/>
      <c r="E62" s="96"/>
      <c r="F62" s="96"/>
      <c r="G62" s="96"/>
      <c r="H62" s="96"/>
      <c r="I62" s="96"/>
      <c r="J62" s="96"/>
      <c r="K62" s="96"/>
      <c r="L62" s="96"/>
      <c r="M62" s="96"/>
      <c r="N62" s="96"/>
      <c r="O62" s="96"/>
      <c r="P62" s="96"/>
      <c r="Q62" s="96"/>
      <c r="R62" s="96"/>
      <c r="S62" s="89"/>
    </row>
    <row r="63" spans="2:19" x14ac:dyDescent="0.35">
      <c r="B63" s="89"/>
      <c r="C63" s="96"/>
      <c r="D63" s="96"/>
      <c r="E63" s="96"/>
      <c r="F63" s="96"/>
      <c r="G63" s="96"/>
      <c r="H63" s="96"/>
      <c r="I63" s="96"/>
      <c r="J63" s="96"/>
      <c r="K63" s="96"/>
      <c r="L63" s="96"/>
      <c r="M63" s="96"/>
      <c r="N63" s="96"/>
      <c r="O63" s="96"/>
      <c r="P63" s="96"/>
      <c r="Q63" s="96"/>
      <c r="R63" s="96"/>
      <c r="S63" s="89"/>
    </row>
    <row r="64" spans="2:19" ht="28.5" customHeight="1" x14ac:dyDescent="0.35">
      <c r="B64" s="89"/>
      <c r="C64" s="96"/>
      <c r="D64" s="120" t="s">
        <v>45</v>
      </c>
      <c r="E64" s="120"/>
      <c r="F64" s="120"/>
      <c r="G64" s="120"/>
      <c r="H64" s="120"/>
      <c r="I64" s="120"/>
      <c r="J64" s="120"/>
      <c r="K64" s="120"/>
      <c r="L64" s="120"/>
      <c r="M64" s="120"/>
      <c r="N64" s="120"/>
      <c r="O64" s="120"/>
      <c r="P64" s="120"/>
      <c r="Q64" s="120"/>
      <c r="R64" s="96"/>
      <c r="S64" s="89"/>
    </row>
    <row r="65" spans="2:19" x14ac:dyDescent="0.35">
      <c r="B65" s="89"/>
      <c r="C65" s="96"/>
      <c r="D65" s="96"/>
      <c r="E65" s="96"/>
      <c r="F65" s="96"/>
      <c r="G65" s="96"/>
      <c r="H65" s="96"/>
      <c r="I65" s="96"/>
      <c r="J65" s="96"/>
      <c r="K65" s="96"/>
      <c r="L65" s="96"/>
      <c r="M65" s="96"/>
      <c r="N65" s="96"/>
      <c r="O65" s="96"/>
      <c r="P65" s="96"/>
      <c r="Q65" s="96"/>
      <c r="R65" s="96"/>
      <c r="S65" s="89"/>
    </row>
    <row r="66" spans="2:19" x14ac:dyDescent="0.35">
      <c r="B66" s="89"/>
      <c r="C66" s="89"/>
      <c r="D66" s="89"/>
      <c r="E66" s="89"/>
      <c r="F66" s="89"/>
      <c r="G66" s="89"/>
      <c r="H66" s="89"/>
      <c r="I66" s="89"/>
      <c r="J66" s="89"/>
      <c r="K66" s="89"/>
      <c r="L66" s="89"/>
      <c r="M66" s="89"/>
      <c r="N66" s="89"/>
      <c r="O66" s="89"/>
      <c r="P66" s="89"/>
      <c r="Q66" s="89"/>
      <c r="R66" s="89"/>
      <c r="S66" s="89"/>
    </row>
    <row r="67" spans="2:19" x14ac:dyDescent="0.35">
      <c r="B67" s="89"/>
      <c r="C67" s="96"/>
      <c r="D67" s="96"/>
      <c r="E67" s="96"/>
      <c r="F67" s="96"/>
      <c r="G67" s="96"/>
      <c r="H67" s="96"/>
      <c r="I67" s="96"/>
      <c r="J67" s="96"/>
      <c r="K67" s="96"/>
      <c r="L67" s="96"/>
      <c r="M67" s="96"/>
      <c r="N67" s="96"/>
      <c r="O67" s="96"/>
      <c r="P67" s="96"/>
      <c r="Q67" s="96"/>
      <c r="R67" s="96"/>
      <c r="S67" s="89"/>
    </row>
    <row r="68" spans="2:19" x14ac:dyDescent="0.35">
      <c r="B68" s="89"/>
      <c r="C68" s="96"/>
      <c r="D68" s="94" t="s">
        <v>46</v>
      </c>
      <c r="E68" s="96"/>
      <c r="F68" s="96"/>
      <c r="G68" s="96"/>
      <c r="H68" s="96"/>
      <c r="I68" s="96"/>
      <c r="J68" s="96"/>
      <c r="K68" s="96"/>
      <c r="L68" s="96"/>
      <c r="M68" s="96"/>
      <c r="N68" s="96"/>
      <c r="O68" s="96"/>
      <c r="P68" s="96"/>
      <c r="Q68" s="96"/>
      <c r="R68" s="96"/>
      <c r="S68" s="89"/>
    </row>
    <row r="69" spans="2:19" ht="17" customHeight="1" x14ac:dyDescent="0.35">
      <c r="B69" s="89"/>
      <c r="C69" s="96"/>
      <c r="D69" s="94" t="s">
        <v>47</v>
      </c>
      <c r="E69" s="96"/>
      <c r="F69" s="96"/>
      <c r="G69" s="96"/>
      <c r="H69" s="96"/>
      <c r="I69" s="96"/>
      <c r="J69" s="96"/>
      <c r="K69" s="96"/>
      <c r="L69" s="96"/>
      <c r="M69" s="96"/>
      <c r="N69" s="96"/>
      <c r="O69" s="96"/>
      <c r="P69" s="96"/>
      <c r="Q69" s="96"/>
      <c r="R69" s="96"/>
      <c r="S69" s="89"/>
    </row>
    <row r="70" spans="2:19" ht="17" customHeight="1" x14ac:dyDescent="0.35">
      <c r="B70" s="89"/>
      <c r="C70" s="96"/>
      <c r="D70" s="96"/>
      <c r="E70" s="96" t="s">
        <v>8</v>
      </c>
      <c r="F70" s="96" t="s">
        <v>48</v>
      </c>
      <c r="G70" s="96"/>
      <c r="H70" s="96"/>
      <c r="I70" s="96"/>
      <c r="J70" s="96"/>
      <c r="K70" s="96"/>
      <c r="L70" s="96"/>
      <c r="M70" s="96"/>
      <c r="N70" s="96"/>
      <c r="O70" s="96"/>
      <c r="P70" s="96"/>
      <c r="Q70" s="96"/>
      <c r="R70" s="96"/>
      <c r="S70" s="89"/>
    </row>
    <row r="71" spans="2:19" ht="17" customHeight="1" x14ac:dyDescent="0.35">
      <c r="B71" s="89"/>
      <c r="C71" s="96"/>
      <c r="D71" s="96"/>
      <c r="E71" s="96" t="s">
        <v>9</v>
      </c>
      <c r="F71" s="96" t="s">
        <v>49</v>
      </c>
      <c r="G71" s="96"/>
      <c r="H71" s="96"/>
      <c r="I71" s="96"/>
      <c r="J71" s="96"/>
      <c r="K71" s="96"/>
      <c r="L71" s="96"/>
      <c r="M71" s="96"/>
      <c r="N71" s="96"/>
      <c r="O71" s="96"/>
      <c r="P71" s="96"/>
      <c r="Q71" s="96"/>
      <c r="R71" s="96"/>
      <c r="S71" s="89"/>
    </row>
    <row r="72" spans="2:19" ht="17" customHeight="1" x14ac:dyDescent="0.35">
      <c r="B72" s="89"/>
      <c r="C72" s="96"/>
      <c r="D72" s="96"/>
      <c r="E72" s="96" t="s">
        <v>10</v>
      </c>
      <c r="F72" s="96" t="s">
        <v>50</v>
      </c>
      <c r="G72" s="96"/>
      <c r="H72" s="96"/>
      <c r="I72" s="96"/>
      <c r="J72" s="96"/>
      <c r="K72" s="96"/>
      <c r="L72" s="96"/>
      <c r="M72" s="96"/>
      <c r="N72" s="96"/>
      <c r="O72" s="96"/>
      <c r="P72" s="96"/>
      <c r="Q72" s="96"/>
      <c r="R72" s="96"/>
      <c r="S72" s="89"/>
    </row>
    <row r="73" spans="2:19" ht="17" customHeight="1" x14ac:dyDescent="0.35">
      <c r="B73" s="89"/>
      <c r="C73" s="96"/>
      <c r="D73" s="96"/>
      <c r="E73" s="96" t="s">
        <v>11</v>
      </c>
      <c r="F73" s="96" t="s">
        <v>51</v>
      </c>
      <c r="G73" s="96"/>
      <c r="H73" s="96"/>
      <c r="I73" s="96"/>
      <c r="J73" s="96"/>
      <c r="K73" s="96"/>
      <c r="L73" s="96"/>
      <c r="M73" s="96"/>
      <c r="N73" s="96"/>
      <c r="O73" s="96"/>
      <c r="P73" s="96"/>
      <c r="Q73" s="96"/>
      <c r="R73" s="96"/>
      <c r="S73" s="89"/>
    </row>
    <row r="74" spans="2:19" ht="17" customHeight="1" x14ac:dyDescent="0.35">
      <c r="B74" s="89"/>
      <c r="C74" s="96"/>
      <c r="D74" s="96"/>
      <c r="E74" s="96" t="s">
        <v>12</v>
      </c>
      <c r="F74" s="96" t="s">
        <v>52</v>
      </c>
      <c r="G74" s="96"/>
      <c r="H74" s="96"/>
      <c r="I74" s="96"/>
      <c r="J74" s="96"/>
      <c r="K74" s="96"/>
      <c r="L74" s="96"/>
      <c r="M74" s="96"/>
      <c r="N74" s="96"/>
      <c r="O74" s="96"/>
      <c r="P74" s="96"/>
      <c r="Q74" s="96"/>
      <c r="R74" s="96"/>
      <c r="S74" s="89"/>
    </row>
    <row r="75" spans="2:19" ht="17" customHeight="1" x14ac:dyDescent="0.35">
      <c r="B75" s="89"/>
      <c r="C75" s="96"/>
      <c r="D75" s="96"/>
      <c r="E75" s="96" t="s">
        <v>13</v>
      </c>
      <c r="F75" s="96" t="s">
        <v>53</v>
      </c>
      <c r="G75" s="96"/>
      <c r="H75" s="96"/>
      <c r="I75" s="96"/>
      <c r="J75" s="96"/>
      <c r="K75" s="96"/>
      <c r="L75" s="96"/>
      <c r="M75" s="96"/>
      <c r="N75" s="96"/>
      <c r="O75" s="96"/>
      <c r="P75" s="96"/>
      <c r="Q75" s="96"/>
      <c r="R75" s="96"/>
      <c r="S75" s="89"/>
    </row>
    <row r="76" spans="2:19" x14ac:dyDescent="0.35">
      <c r="B76" s="89"/>
      <c r="C76" s="96"/>
      <c r="D76" s="96"/>
      <c r="E76" s="96"/>
      <c r="F76" s="96"/>
      <c r="G76" s="96"/>
      <c r="H76" s="96"/>
      <c r="I76" s="96"/>
      <c r="J76" s="96"/>
      <c r="K76" s="96"/>
      <c r="L76" s="96"/>
      <c r="M76" s="96"/>
      <c r="N76" s="96"/>
      <c r="O76" s="96"/>
      <c r="P76" s="96"/>
      <c r="Q76" s="96"/>
      <c r="R76" s="96"/>
      <c r="S76" s="89"/>
    </row>
    <row r="77" spans="2:19" ht="17" customHeight="1" x14ac:dyDescent="0.35">
      <c r="B77" s="89"/>
      <c r="C77" s="96"/>
      <c r="D77" s="94" t="s">
        <v>54</v>
      </c>
      <c r="E77" s="96"/>
      <c r="F77" s="96"/>
      <c r="G77" s="96"/>
      <c r="H77" s="96"/>
      <c r="I77" s="96"/>
      <c r="J77" s="96"/>
      <c r="K77" s="96"/>
      <c r="L77" s="96"/>
      <c r="M77" s="96"/>
      <c r="N77" s="96"/>
      <c r="O77" s="96"/>
      <c r="P77" s="96"/>
      <c r="Q77" s="96"/>
      <c r="R77" s="96"/>
      <c r="S77" s="89"/>
    </row>
    <row r="78" spans="2:19" ht="17" customHeight="1" x14ac:dyDescent="0.35">
      <c r="B78" s="89"/>
      <c r="C78" s="96"/>
      <c r="D78" s="96"/>
      <c r="E78" s="96" t="s">
        <v>8</v>
      </c>
      <c r="F78" s="96" t="s">
        <v>55</v>
      </c>
      <c r="G78" s="96"/>
      <c r="H78" s="96"/>
      <c r="I78" s="96"/>
      <c r="J78" s="96"/>
      <c r="K78" s="96"/>
      <c r="L78" s="96"/>
      <c r="M78" s="96"/>
      <c r="N78" s="96"/>
      <c r="O78" s="96"/>
      <c r="P78" s="96"/>
      <c r="Q78" s="96"/>
      <c r="R78" s="96"/>
      <c r="S78" s="89"/>
    </row>
    <row r="79" spans="2:19" ht="17" customHeight="1" x14ac:dyDescent="0.35">
      <c r="B79" s="89"/>
      <c r="C79" s="96"/>
      <c r="D79" s="96"/>
      <c r="E79" s="96" t="s">
        <v>9</v>
      </c>
      <c r="F79" s="96" t="s">
        <v>56</v>
      </c>
      <c r="G79" s="96"/>
      <c r="H79" s="96"/>
      <c r="I79" s="96"/>
      <c r="J79" s="96"/>
      <c r="K79" s="96"/>
      <c r="L79" s="96"/>
      <c r="M79" s="96"/>
      <c r="N79" s="96"/>
      <c r="O79" s="96"/>
      <c r="P79" s="96"/>
      <c r="Q79" s="96"/>
      <c r="R79" s="96"/>
      <c r="S79" s="89"/>
    </row>
    <row r="80" spans="2:19" x14ac:dyDescent="0.35">
      <c r="B80" s="89"/>
      <c r="C80" s="96"/>
      <c r="D80" s="96"/>
      <c r="E80" s="96"/>
      <c r="F80" s="96"/>
      <c r="G80" s="96"/>
      <c r="H80" s="96"/>
      <c r="I80" s="96"/>
      <c r="J80" s="96"/>
      <c r="K80" s="96"/>
      <c r="L80" s="96"/>
      <c r="M80" s="96"/>
      <c r="N80" s="96"/>
      <c r="O80" s="96"/>
      <c r="P80" s="96"/>
      <c r="Q80" s="96"/>
      <c r="R80" s="96"/>
      <c r="S80" s="89"/>
    </row>
    <row r="81" spans="2:19" x14ac:dyDescent="0.35">
      <c r="B81" s="89"/>
      <c r="C81" s="89"/>
      <c r="D81" s="89"/>
      <c r="E81" s="89"/>
      <c r="F81" s="89"/>
      <c r="G81" s="89"/>
      <c r="H81" s="89"/>
      <c r="I81" s="89"/>
      <c r="J81" s="89"/>
      <c r="K81" s="89"/>
      <c r="L81" s="89"/>
      <c r="M81" s="89"/>
      <c r="N81" s="89"/>
      <c r="O81" s="89"/>
      <c r="P81" s="89"/>
      <c r="Q81" s="89"/>
      <c r="R81" s="89"/>
      <c r="S81" s="89"/>
    </row>
    <row r="82" spans="2:19" x14ac:dyDescent="0.35">
      <c r="B82" s="89"/>
      <c r="C82" s="96"/>
      <c r="D82" s="96"/>
      <c r="E82" s="96"/>
      <c r="F82" s="96"/>
      <c r="G82" s="96"/>
      <c r="H82" s="96"/>
      <c r="I82" s="96"/>
      <c r="J82" s="96"/>
      <c r="K82" s="96"/>
      <c r="L82" s="96"/>
      <c r="M82" s="96"/>
      <c r="N82" s="96"/>
      <c r="O82" s="96"/>
      <c r="P82" s="96"/>
      <c r="Q82" s="96"/>
      <c r="R82" s="96"/>
      <c r="S82" s="89"/>
    </row>
    <row r="83" spans="2:19" ht="17" customHeight="1" x14ac:dyDescent="0.35">
      <c r="B83" s="89"/>
      <c r="C83" s="96"/>
      <c r="D83" s="94" t="s">
        <v>57</v>
      </c>
      <c r="E83" s="96"/>
      <c r="F83" s="96"/>
      <c r="G83" s="96"/>
      <c r="H83" s="96"/>
      <c r="I83" s="96"/>
      <c r="J83" s="96"/>
      <c r="K83" s="96"/>
      <c r="L83" s="96"/>
      <c r="M83" s="96"/>
      <c r="N83" s="96"/>
      <c r="O83" s="96"/>
      <c r="P83" s="96"/>
      <c r="Q83" s="96"/>
      <c r="R83" s="96"/>
      <c r="S83" s="89"/>
    </row>
    <row r="84" spans="2:19" ht="17" customHeight="1" x14ac:dyDescent="0.35">
      <c r="B84" s="89"/>
      <c r="C84" s="96"/>
      <c r="D84" s="96"/>
      <c r="E84" s="96" t="s">
        <v>8</v>
      </c>
      <c r="F84" s="96" t="s">
        <v>58</v>
      </c>
      <c r="G84" s="96"/>
      <c r="H84" s="96"/>
      <c r="I84" s="96"/>
      <c r="J84" s="96"/>
      <c r="K84" s="96"/>
      <c r="L84" s="96"/>
      <c r="M84" s="96"/>
      <c r="N84" s="96"/>
      <c r="O84" s="96"/>
      <c r="P84" s="96"/>
      <c r="Q84" s="96"/>
      <c r="R84" s="96"/>
      <c r="S84" s="89"/>
    </row>
    <row r="85" spans="2:19" x14ac:dyDescent="0.35">
      <c r="B85" s="89"/>
      <c r="C85" s="96"/>
      <c r="D85" s="96"/>
      <c r="E85" s="96"/>
      <c r="F85" s="96"/>
      <c r="G85" s="96"/>
      <c r="H85" s="96"/>
      <c r="I85" s="96"/>
      <c r="J85" s="96"/>
      <c r="K85" s="96"/>
      <c r="L85" s="96"/>
      <c r="M85" s="96"/>
      <c r="N85" s="96"/>
      <c r="O85" s="96"/>
      <c r="P85" s="96"/>
      <c r="Q85" s="96"/>
      <c r="R85" s="96"/>
      <c r="S85" s="89"/>
    </row>
    <row r="86" spans="2:19" x14ac:dyDescent="0.35">
      <c r="B86" s="89"/>
      <c r="C86" s="89"/>
      <c r="D86" s="89"/>
      <c r="E86" s="89"/>
      <c r="F86" s="89"/>
      <c r="G86" s="89"/>
      <c r="H86" s="89"/>
      <c r="I86" s="89"/>
      <c r="J86" s="89"/>
      <c r="K86" s="89"/>
      <c r="L86" s="89"/>
      <c r="M86" s="89"/>
      <c r="N86" s="89"/>
      <c r="O86" s="89"/>
      <c r="P86" s="89"/>
      <c r="Q86" s="89"/>
      <c r="R86" s="89"/>
      <c r="S86" s="89"/>
    </row>
    <row r="88" spans="2:19" x14ac:dyDescent="0.35">
      <c r="B88" s="89"/>
      <c r="C88" s="89"/>
      <c r="D88" s="89"/>
      <c r="E88" s="89"/>
      <c r="F88" s="89"/>
      <c r="G88" s="89"/>
      <c r="H88" s="89"/>
      <c r="I88" s="89"/>
      <c r="J88" s="89"/>
      <c r="K88" s="89"/>
      <c r="L88" s="89"/>
      <c r="M88" s="89"/>
      <c r="N88" s="89"/>
      <c r="O88" s="89"/>
      <c r="P88" s="89"/>
      <c r="Q88" s="89"/>
      <c r="R88" s="89"/>
      <c r="S88" s="89"/>
    </row>
    <row r="89" spans="2:19" x14ac:dyDescent="0.35">
      <c r="B89" s="89"/>
      <c r="C89" s="96"/>
      <c r="D89" s="96"/>
      <c r="E89" s="96"/>
      <c r="F89" s="96"/>
      <c r="G89" s="96"/>
      <c r="H89" s="96"/>
      <c r="I89" s="96"/>
      <c r="J89" s="96"/>
      <c r="K89" s="96"/>
      <c r="L89" s="96"/>
      <c r="M89" s="96"/>
      <c r="N89" s="96"/>
      <c r="O89" s="96"/>
      <c r="P89" s="96"/>
      <c r="Q89" s="96"/>
      <c r="R89" s="96"/>
      <c r="S89" s="89"/>
    </row>
    <row r="90" spans="2:19" x14ac:dyDescent="0.35">
      <c r="B90" s="89"/>
      <c r="C90" s="96"/>
      <c r="D90" s="94" t="s">
        <v>218</v>
      </c>
      <c r="E90" s="96"/>
      <c r="F90" s="96"/>
      <c r="G90" s="96"/>
      <c r="H90" s="96"/>
      <c r="I90" s="96"/>
      <c r="J90" s="96"/>
      <c r="K90" s="96"/>
      <c r="L90" s="96"/>
      <c r="M90" s="96"/>
      <c r="N90" s="96"/>
      <c r="O90" s="96"/>
      <c r="P90" s="96"/>
      <c r="Q90" s="96"/>
      <c r="R90" s="96"/>
      <c r="S90" s="89"/>
    </row>
    <row r="91" spans="2:19" x14ac:dyDescent="0.35">
      <c r="B91" s="89"/>
      <c r="C91" s="96"/>
      <c r="D91" s="94"/>
      <c r="E91" s="96"/>
      <c r="F91" s="96"/>
      <c r="G91" s="96"/>
      <c r="H91" s="96"/>
      <c r="I91" s="96"/>
      <c r="J91" s="96"/>
      <c r="K91" s="96"/>
      <c r="L91" s="96"/>
      <c r="M91" s="96"/>
      <c r="N91" s="96"/>
      <c r="O91" s="96"/>
      <c r="P91" s="96"/>
      <c r="Q91" s="96"/>
      <c r="R91" s="96"/>
      <c r="S91" s="89"/>
    </row>
    <row r="92" spans="2:19" ht="17" customHeight="1" x14ac:dyDescent="0.35">
      <c r="B92" s="89"/>
      <c r="C92" s="96"/>
      <c r="D92" s="94" t="s">
        <v>219</v>
      </c>
      <c r="E92" s="96"/>
      <c r="F92" s="96"/>
      <c r="G92" s="96"/>
      <c r="H92" s="96"/>
      <c r="I92" s="96"/>
      <c r="J92" s="96"/>
      <c r="K92" s="96"/>
      <c r="L92" s="96"/>
      <c r="M92" s="96"/>
      <c r="N92" s="96"/>
      <c r="O92" s="96"/>
      <c r="P92" s="96"/>
      <c r="Q92" s="96"/>
      <c r="R92" s="96"/>
      <c r="S92" s="89"/>
    </row>
    <row r="93" spans="2:19" ht="17" customHeight="1" x14ac:dyDescent="0.35">
      <c r="B93" s="89"/>
      <c r="C93" s="96"/>
      <c r="D93" s="96"/>
      <c r="E93" s="96" t="s">
        <v>8</v>
      </c>
      <c r="F93" s="96" t="s">
        <v>59</v>
      </c>
      <c r="G93" s="96"/>
      <c r="H93" s="96"/>
      <c r="I93" s="96"/>
      <c r="J93" s="96"/>
      <c r="K93" s="96"/>
      <c r="L93" s="96"/>
      <c r="M93" s="96"/>
      <c r="N93" s="96"/>
      <c r="O93" s="96"/>
      <c r="P93" s="96"/>
      <c r="Q93" s="96"/>
      <c r="R93" s="96"/>
      <c r="S93" s="89"/>
    </row>
    <row r="94" spans="2:19" ht="17" customHeight="1" x14ac:dyDescent="0.35">
      <c r="B94" s="89"/>
      <c r="C94" s="96"/>
      <c r="D94" s="96"/>
      <c r="E94" s="96" t="s">
        <v>9</v>
      </c>
      <c r="F94" s="96" t="s">
        <v>60</v>
      </c>
      <c r="G94" s="96"/>
      <c r="H94" s="96"/>
      <c r="I94" s="96"/>
      <c r="J94" s="96"/>
      <c r="K94" s="96"/>
      <c r="L94" s="96"/>
      <c r="M94" s="96"/>
      <c r="N94" s="96"/>
      <c r="O94" s="96"/>
      <c r="P94" s="96"/>
      <c r="Q94" s="96"/>
      <c r="R94" s="96"/>
      <c r="S94" s="89"/>
    </row>
    <row r="95" spans="2:19" ht="17" customHeight="1" x14ac:dyDescent="0.35">
      <c r="B95" s="89"/>
      <c r="C95" s="96"/>
      <c r="D95" s="96"/>
      <c r="E95" s="96" t="s">
        <v>10</v>
      </c>
      <c r="F95" s="96" t="s">
        <v>61</v>
      </c>
      <c r="G95" s="96"/>
      <c r="H95" s="96"/>
      <c r="I95" s="96"/>
      <c r="J95" s="96"/>
      <c r="K95" s="96"/>
      <c r="L95" s="96"/>
      <c r="M95" s="96"/>
      <c r="N95" s="96"/>
      <c r="O95" s="96"/>
      <c r="P95" s="96"/>
      <c r="Q95" s="96"/>
      <c r="R95" s="96"/>
      <c r="S95" s="89"/>
    </row>
    <row r="96" spans="2:19" ht="17" customHeight="1" x14ac:dyDescent="0.35">
      <c r="B96" s="89"/>
      <c r="C96" s="96"/>
      <c r="D96" s="96"/>
      <c r="E96" s="96" t="s">
        <v>11</v>
      </c>
      <c r="F96" s="96" t="s">
        <v>62</v>
      </c>
      <c r="G96" s="96"/>
      <c r="H96" s="96"/>
      <c r="I96" s="96"/>
      <c r="J96" s="96"/>
      <c r="K96" s="96"/>
      <c r="L96" s="96"/>
      <c r="M96" s="96"/>
      <c r="N96" s="96"/>
      <c r="O96" s="96"/>
      <c r="P96" s="96"/>
      <c r="Q96" s="96"/>
      <c r="R96" s="96"/>
      <c r="S96" s="89"/>
    </row>
    <row r="97" spans="2:19" ht="17" customHeight="1" x14ac:dyDescent="0.35">
      <c r="B97" s="89"/>
      <c r="C97" s="96"/>
      <c r="D97" s="96"/>
      <c r="E97" s="96" t="s">
        <v>12</v>
      </c>
      <c r="F97" s="96" t="s">
        <v>63</v>
      </c>
      <c r="G97" s="96"/>
      <c r="H97" s="96"/>
      <c r="I97" s="96"/>
      <c r="J97" s="96"/>
      <c r="K97" s="96"/>
      <c r="L97" s="96"/>
      <c r="M97" s="96"/>
      <c r="N97" s="96"/>
      <c r="O97" s="96"/>
      <c r="P97" s="96"/>
      <c r="Q97" s="96"/>
      <c r="R97" s="96"/>
      <c r="S97" s="89"/>
    </row>
    <row r="98" spans="2:19" x14ac:dyDescent="0.35">
      <c r="B98" s="89"/>
      <c r="C98" s="96"/>
      <c r="D98" s="96"/>
      <c r="E98" s="96"/>
      <c r="F98" s="96"/>
      <c r="G98" s="96"/>
      <c r="H98" s="96"/>
      <c r="I98" s="96"/>
      <c r="J98" s="96"/>
      <c r="K98" s="96"/>
      <c r="L98" s="96"/>
      <c r="M98" s="96"/>
      <c r="N98" s="96"/>
      <c r="O98" s="96"/>
      <c r="P98" s="96"/>
      <c r="Q98" s="96"/>
      <c r="R98" s="96"/>
      <c r="S98" s="89"/>
    </row>
    <row r="99" spans="2:19" x14ac:dyDescent="0.35">
      <c r="B99" s="89"/>
      <c r="C99" s="96"/>
      <c r="D99" s="96"/>
      <c r="E99" s="96" t="s">
        <v>64</v>
      </c>
      <c r="F99" s="96"/>
      <c r="G99" s="96"/>
      <c r="H99" s="96"/>
      <c r="I99" s="96"/>
      <c r="J99" s="96"/>
      <c r="K99" s="96"/>
      <c r="L99" s="96"/>
      <c r="M99" s="96"/>
      <c r="N99" s="96"/>
      <c r="O99" s="98"/>
      <c r="P99" s="96"/>
      <c r="Q99" s="96"/>
      <c r="R99" s="96"/>
      <c r="S99" s="89"/>
    </row>
    <row r="100" spans="2:19" x14ac:dyDescent="0.35">
      <c r="B100" s="89"/>
      <c r="C100" s="96"/>
      <c r="D100" s="96"/>
      <c r="E100" s="96" t="s">
        <v>65</v>
      </c>
      <c r="F100" s="96"/>
      <c r="G100" s="96"/>
      <c r="H100" s="96"/>
      <c r="I100" s="96"/>
      <c r="J100" s="96"/>
      <c r="K100" s="96"/>
      <c r="L100" s="96"/>
      <c r="M100" s="96"/>
      <c r="N100" s="96"/>
      <c r="O100" s="98"/>
      <c r="P100" s="96"/>
      <c r="Q100" s="96"/>
      <c r="R100" s="96"/>
      <c r="S100" s="89"/>
    </row>
    <row r="101" spans="2:19" x14ac:dyDescent="0.35">
      <c r="B101" s="89"/>
      <c r="C101" s="96"/>
      <c r="D101" s="96"/>
      <c r="E101" s="96" t="s">
        <v>220</v>
      </c>
      <c r="F101" s="96"/>
      <c r="G101" s="96"/>
      <c r="H101" s="96"/>
      <c r="I101" s="96"/>
      <c r="J101" s="96"/>
      <c r="K101" s="96"/>
      <c r="L101" s="96"/>
      <c r="M101" s="96"/>
      <c r="N101" s="96"/>
      <c r="O101" s="96"/>
      <c r="P101" s="96"/>
      <c r="Q101" s="96"/>
      <c r="R101" s="96"/>
      <c r="S101" s="89"/>
    </row>
    <row r="102" spans="2:19" x14ac:dyDescent="0.35">
      <c r="B102" s="89"/>
      <c r="C102" s="96"/>
      <c r="D102" s="96"/>
      <c r="E102" s="96"/>
      <c r="F102" s="96"/>
      <c r="G102" s="96"/>
      <c r="H102" s="96"/>
      <c r="I102" s="96"/>
      <c r="J102" s="96"/>
      <c r="K102" s="96"/>
      <c r="L102" s="96"/>
      <c r="M102" s="96"/>
      <c r="N102" s="96"/>
      <c r="O102" s="96"/>
      <c r="P102" s="96"/>
      <c r="Q102" s="96"/>
      <c r="R102" s="96"/>
      <c r="S102" s="89"/>
    </row>
    <row r="103" spans="2:19" ht="17" customHeight="1" x14ac:dyDescent="0.35">
      <c r="B103" s="89"/>
      <c r="C103" s="96"/>
      <c r="D103" s="94" t="s">
        <v>72</v>
      </c>
      <c r="E103" s="99"/>
      <c r="F103" s="99"/>
      <c r="G103" s="99"/>
      <c r="H103" s="99"/>
      <c r="I103" s="99"/>
      <c r="J103" s="99"/>
      <c r="K103" s="99"/>
      <c r="L103" s="99"/>
      <c r="M103" s="99"/>
      <c r="N103" s="99"/>
      <c r="O103" s="99"/>
      <c r="P103" s="99"/>
      <c r="Q103" s="99"/>
      <c r="R103" s="96"/>
      <c r="S103" s="89"/>
    </row>
    <row r="104" spans="2:19" ht="17" customHeight="1" x14ac:dyDescent="0.35">
      <c r="B104" s="89"/>
      <c r="C104" s="96"/>
      <c r="D104" s="96"/>
      <c r="E104" s="99" t="s">
        <v>8</v>
      </c>
      <c r="F104" s="99" t="s">
        <v>66</v>
      </c>
      <c r="G104" s="99"/>
      <c r="H104" s="99"/>
      <c r="I104" s="99"/>
      <c r="J104" s="99"/>
      <c r="K104" s="99"/>
      <c r="L104" s="99"/>
      <c r="M104" s="99"/>
      <c r="N104" s="99"/>
      <c r="O104" s="99"/>
      <c r="P104" s="99"/>
      <c r="Q104" s="99"/>
      <c r="R104" s="96"/>
      <c r="S104" s="89"/>
    </row>
    <row r="105" spans="2:19" ht="17" customHeight="1" x14ac:dyDescent="0.35">
      <c r="B105" s="89"/>
      <c r="C105" s="96"/>
      <c r="D105" s="96"/>
      <c r="E105" s="99" t="s">
        <v>9</v>
      </c>
      <c r="F105" s="99" t="s">
        <v>67</v>
      </c>
      <c r="G105" s="99"/>
      <c r="H105" s="99"/>
      <c r="I105" s="99"/>
      <c r="J105" s="99"/>
      <c r="K105" s="99"/>
      <c r="L105" s="99"/>
      <c r="M105" s="99"/>
      <c r="N105" s="99"/>
      <c r="O105" s="99"/>
      <c r="P105" s="99"/>
      <c r="Q105" s="99"/>
      <c r="R105" s="96"/>
      <c r="S105" s="89"/>
    </row>
    <row r="106" spans="2:19" ht="17" customHeight="1" x14ac:dyDescent="0.35">
      <c r="B106" s="89"/>
      <c r="C106" s="96"/>
      <c r="D106" s="96"/>
      <c r="E106" s="99" t="s">
        <v>10</v>
      </c>
      <c r="F106" s="99" t="s">
        <v>68</v>
      </c>
      <c r="G106" s="99"/>
      <c r="H106" s="99"/>
      <c r="I106" s="99"/>
      <c r="J106" s="99"/>
      <c r="K106" s="99"/>
      <c r="L106" s="99"/>
      <c r="M106" s="99"/>
      <c r="N106" s="99"/>
      <c r="O106" s="99"/>
      <c r="P106" s="99"/>
      <c r="Q106" s="99"/>
      <c r="R106" s="96"/>
      <c r="S106" s="89"/>
    </row>
    <row r="107" spans="2:19" ht="17" customHeight="1" x14ac:dyDescent="0.35">
      <c r="B107" s="89"/>
      <c r="C107" s="96"/>
      <c r="D107" s="96"/>
      <c r="E107" s="99" t="s">
        <v>11</v>
      </c>
      <c r="F107" s="99" t="s">
        <v>69</v>
      </c>
      <c r="G107" s="99"/>
      <c r="H107" s="99"/>
      <c r="I107" s="99"/>
      <c r="J107" s="99"/>
      <c r="K107" s="99"/>
      <c r="L107" s="99"/>
      <c r="M107" s="99"/>
      <c r="N107" s="99"/>
      <c r="O107" s="99"/>
      <c r="P107" s="99"/>
      <c r="Q107" s="99"/>
      <c r="R107" s="96"/>
      <c r="S107" s="89"/>
    </row>
    <row r="108" spans="2:19" ht="17" customHeight="1" x14ac:dyDescent="0.35">
      <c r="B108" s="89"/>
      <c r="C108" s="96"/>
      <c r="D108" s="96"/>
      <c r="E108" s="99" t="s">
        <v>12</v>
      </c>
      <c r="F108" s="99" t="s">
        <v>70</v>
      </c>
      <c r="G108" s="99"/>
      <c r="H108" s="99"/>
      <c r="I108" s="99"/>
      <c r="J108" s="99"/>
      <c r="K108" s="99"/>
      <c r="L108" s="99"/>
      <c r="M108" s="99"/>
      <c r="N108" s="99"/>
      <c r="O108" s="99"/>
      <c r="P108" s="99"/>
      <c r="Q108" s="99"/>
      <c r="R108" s="96"/>
      <c r="S108" s="89"/>
    </row>
    <row r="109" spans="2:19" ht="17" customHeight="1" x14ac:dyDescent="0.35">
      <c r="B109" s="89"/>
      <c r="C109" s="96"/>
      <c r="D109" s="96"/>
      <c r="E109" s="99" t="s">
        <v>13</v>
      </c>
      <c r="F109" s="99" t="s">
        <v>71</v>
      </c>
      <c r="G109" s="99"/>
      <c r="H109" s="99"/>
      <c r="I109" s="99"/>
      <c r="J109" s="99"/>
      <c r="K109" s="99"/>
      <c r="L109" s="99"/>
      <c r="M109" s="99"/>
      <c r="N109" s="99"/>
      <c r="O109" s="99"/>
      <c r="P109" s="99"/>
      <c r="Q109" s="99"/>
      <c r="R109" s="96"/>
      <c r="S109" s="89"/>
    </row>
    <row r="110" spans="2:19" x14ac:dyDescent="0.35">
      <c r="B110" s="89"/>
      <c r="C110" s="96"/>
      <c r="D110" s="96"/>
      <c r="E110" s="99"/>
      <c r="F110" s="99"/>
      <c r="G110" s="99"/>
      <c r="H110" s="99"/>
      <c r="I110" s="99"/>
      <c r="J110" s="99"/>
      <c r="K110" s="99"/>
      <c r="L110" s="99"/>
      <c r="M110" s="99"/>
      <c r="N110" s="99"/>
      <c r="O110" s="99"/>
      <c r="P110" s="99"/>
      <c r="Q110" s="99"/>
      <c r="R110" s="96"/>
      <c r="S110" s="89"/>
    </row>
    <row r="111" spans="2:19" x14ac:dyDescent="0.35">
      <c r="B111" s="89"/>
      <c r="C111" s="96"/>
      <c r="D111" s="96"/>
      <c r="E111" s="99" t="s">
        <v>73</v>
      </c>
      <c r="F111" s="99"/>
      <c r="G111" s="99"/>
      <c r="H111" s="99"/>
      <c r="I111" s="99"/>
      <c r="J111" s="99"/>
      <c r="K111" s="99"/>
      <c r="L111" s="99"/>
      <c r="M111" s="99"/>
      <c r="N111" s="99"/>
      <c r="O111" s="99"/>
      <c r="P111" s="99"/>
      <c r="Q111" s="99"/>
      <c r="R111" s="96"/>
      <c r="S111" s="89"/>
    </row>
    <row r="112" spans="2:19" x14ac:dyDescent="0.35">
      <c r="B112" s="89"/>
      <c r="C112" s="96"/>
      <c r="D112" s="96"/>
      <c r="E112" s="96"/>
      <c r="F112" s="96"/>
      <c r="G112" s="96"/>
      <c r="H112" s="96"/>
      <c r="I112" s="96"/>
      <c r="J112" s="96"/>
      <c r="K112" s="96"/>
      <c r="L112" s="96"/>
      <c r="M112" s="96"/>
      <c r="N112" s="96"/>
      <c r="O112" s="96"/>
      <c r="P112" s="96"/>
      <c r="Q112" s="96"/>
      <c r="R112" s="96"/>
      <c r="S112" s="89"/>
    </row>
    <row r="113" spans="2:19" x14ac:dyDescent="0.35">
      <c r="B113" s="89"/>
      <c r="C113" s="89"/>
      <c r="D113" s="89"/>
      <c r="E113" s="89"/>
      <c r="F113" s="89"/>
      <c r="G113" s="89"/>
      <c r="H113" s="89"/>
      <c r="I113" s="89"/>
      <c r="J113" s="89"/>
      <c r="K113" s="89"/>
      <c r="L113" s="89"/>
      <c r="M113" s="89"/>
      <c r="N113" s="89"/>
      <c r="O113" s="89"/>
      <c r="P113" s="89"/>
      <c r="Q113" s="89"/>
      <c r="R113" s="89"/>
      <c r="S113" s="89"/>
    </row>
  </sheetData>
  <sheetProtection algorithmName="SHA-512" hashValue="XOO3+n/77szuqyKWHIAjWuUM8RYatbUEDR3Em9SfbLBRl7y/WlDASgx8KjhIJYhb+c4lfTsBOGmXnnJDGQ4Ogg==" saltValue="LFSGCHGH82Y5aurcr9O0zg==" spinCount="100000" sheet="1" objects="1" scenarios="1" selectLockedCells="1" selectUnlockedCells="1"/>
  <mergeCells count="4">
    <mergeCell ref="D45:Q45"/>
    <mergeCell ref="D64:Q64"/>
    <mergeCell ref="E23:Q23"/>
    <mergeCell ref="E35:Q3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1E7FE-ECE8-4023-ABAE-5FD9C32B6E9D}">
  <dimension ref="B1:W62"/>
  <sheetViews>
    <sheetView showGridLines="0" zoomScaleNormal="100" workbookViewId="0">
      <selection activeCell="A100" sqref="A100"/>
    </sheetView>
  </sheetViews>
  <sheetFormatPr defaultRowHeight="14.5" x14ac:dyDescent="0.35"/>
  <cols>
    <col min="1" max="1" width="2.81640625" style="65" customWidth="1"/>
    <col min="2" max="2" width="1.81640625" style="65" customWidth="1"/>
    <col min="3" max="3" width="53.54296875" style="65" customWidth="1"/>
    <col min="4" max="14" width="12.6328125" style="65" customWidth="1"/>
    <col min="15" max="15" width="1.81640625" style="65" customWidth="1"/>
    <col min="16" max="17" width="2.81640625" style="65" customWidth="1"/>
    <col min="18" max="18" width="26.36328125" style="65" customWidth="1"/>
    <col min="19" max="19" width="3.81640625" style="65" customWidth="1"/>
    <col min="20" max="20" width="18.6328125" style="65" customWidth="1"/>
    <col min="21" max="21" width="46.81640625" style="65" customWidth="1"/>
    <col min="22" max="23" width="2.81640625" style="65" customWidth="1"/>
    <col min="24" max="16384" width="8.7265625" style="65"/>
  </cols>
  <sheetData>
    <row r="1" spans="2:23" ht="7.5" customHeight="1" x14ac:dyDescent="0.35"/>
    <row r="2" spans="2:23" ht="33.5" x14ac:dyDescent="0.95">
      <c r="C2" s="69" t="s">
        <v>76</v>
      </c>
    </row>
    <row r="3" spans="2:23" ht="36.5" customHeight="1" x14ac:dyDescent="0.35">
      <c r="C3" s="121" t="s">
        <v>77</v>
      </c>
      <c r="D3" s="121"/>
      <c r="E3" s="121"/>
      <c r="F3" s="121"/>
      <c r="G3" s="121"/>
      <c r="H3" s="121"/>
      <c r="I3" s="121"/>
      <c r="J3" s="121"/>
      <c r="K3" s="121"/>
      <c r="L3" s="121"/>
      <c r="M3" s="121"/>
      <c r="N3" s="121"/>
    </row>
    <row r="4" spans="2:23" ht="21" x14ac:dyDescent="0.5">
      <c r="B4" s="67"/>
      <c r="C4" s="66" t="s">
        <v>78</v>
      </c>
      <c r="D4" s="67"/>
      <c r="E4" s="67"/>
      <c r="F4" s="67"/>
      <c r="G4" s="67"/>
      <c r="H4" s="67"/>
      <c r="I4" s="67"/>
      <c r="J4" s="67"/>
      <c r="K4" s="67"/>
      <c r="L4" s="67"/>
      <c r="M4" s="67"/>
      <c r="N4" s="67"/>
      <c r="O4" s="67"/>
      <c r="Q4" s="67"/>
      <c r="R4" s="66" t="s">
        <v>93</v>
      </c>
      <c r="S4" s="67"/>
      <c r="T4" s="67"/>
      <c r="U4" s="67"/>
      <c r="V4" s="67"/>
      <c r="W4" s="67"/>
    </row>
    <row r="5" spans="2:23" ht="14.5" customHeight="1" x14ac:dyDescent="0.5">
      <c r="B5" s="67"/>
      <c r="C5" s="74" t="str">
        <f>CONCATENATE("Discounted  with ", 'Viability comparison'!D6*100, "% discount rate.")</f>
        <v>Discounted  with 0% discount rate.</v>
      </c>
      <c r="D5" s="67"/>
      <c r="E5" s="67"/>
      <c r="F5" s="67"/>
      <c r="G5" s="67"/>
      <c r="H5" s="67"/>
      <c r="I5" s="67"/>
      <c r="J5" s="67"/>
      <c r="K5" s="67"/>
      <c r="L5" s="67"/>
      <c r="M5" s="67"/>
      <c r="N5" s="67"/>
      <c r="O5" s="67"/>
      <c r="Q5" s="67"/>
      <c r="R5" s="66"/>
      <c r="S5" s="67"/>
      <c r="T5" s="67"/>
      <c r="U5" s="67"/>
      <c r="V5" s="67"/>
      <c r="W5" s="67"/>
    </row>
    <row r="6" spans="2:23" x14ac:dyDescent="0.35">
      <c r="B6" s="67"/>
      <c r="C6" s="70" t="s">
        <v>92</v>
      </c>
      <c r="D6" s="71">
        <f>'Option 1'!F5</f>
        <v>2022</v>
      </c>
      <c r="E6" s="71">
        <f>'Option 1'!G5</f>
        <v>2023</v>
      </c>
      <c r="F6" s="71">
        <f>'Option 1'!H5</f>
        <v>2024</v>
      </c>
      <c r="G6" s="71">
        <f>'Option 1'!I5</f>
        <v>2025</v>
      </c>
      <c r="H6" s="71">
        <f>'Option 1'!J5</f>
        <v>2026</v>
      </c>
      <c r="I6" s="71">
        <f>'Option 1'!K5</f>
        <v>2027</v>
      </c>
      <c r="J6" s="71">
        <f>'Option 1'!L5</f>
        <v>2028</v>
      </c>
      <c r="K6" s="71">
        <f>'Option 1'!M5</f>
        <v>2029</v>
      </c>
      <c r="L6" s="71">
        <f>'Option 1'!N5</f>
        <v>2030</v>
      </c>
      <c r="M6" s="71">
        <f>'Option 1'!O5</f>
        <v>2031</v>
      </c>
      <c r="N6" s="71">
        <f>'Option 1'!P5</f>
        <v>2032</v>
      </c>
      <c r="O6" s="67"/>
      <c r="Q6" s="67"/>
      <c r="R6" s="68"/>
      <c r="S6" s="68"/>
      <c r="T6" s="68" t="str">
        <f>'Option 1'!X7</f>
        <v>Benefit name</v>
      </c>
      <c r="U6" s="68" t="str">
        <f>'Option 1'!Y7</f>
        <v>Benefit description</v>
      </c>
      <c r="V6" s="68"/>
      <c r="W6" s="67"/>
    </row>
    <row r="7" spans="2:23" x14ac:dyDescent="0.35">
      <c r="B7" s="67"/>
      <c r="C7" s="72" t="str">
        <f>IF(ISBLANK($C$34),"",$C$34)</f>
        <v>Option 1</v>
      </c>
      <c r="D7" s="86">
        <f>IF($C7="","",D55)</f>
        <v>-2</v>
      </c>
      <c r="E7" s="86">
        <f t="shared" ref="E7:N7" si="0">IF($C7="","",E55+D7)</f>
        <v>-8</v>
      </c>
      <c r="F7" s="86">
        <f t="shared" si="0"/>
        <v>-8</v>
      </c>
      <c r="G7" s="86">
        <f t="shared" si="0"/>
        <v>-6</v>
      </c>
      <c r="H7" s="86">
        <f t="shared" si="0"/>
        <v>-5</v>
      </c>
      <c r="I7" s="86">
        <f t="shared" si="0"/>
        <v>-4</v>
      </c>
      <c r="J7" s="86">
        <f t="shared" si="0"/>
        <v>-3</v>
      </c>
      <c r="K7" s="86">
        <f t="shared" si="0"/>
        <v>-2</v>
      </c>
      <c r="L7" s="86">
        <f t="shared" si="0"/>
        <v>-1</v>
      </c>
      <c r="M7" s="86">
        <f t="shared" si="0"/>
        <v>0</v>
      </c>
      <c r="N7" s="86">
        <f t="shared" si="0"/>
        <v>1</v>
      </c>
      <c r="O7" s="67"/>
      <c r="Q7" s="67"/>
      <c r="R7" s="68" t="str">
        <f>IF(ISBLANK($C$34),"",$C$34)</f>
        <v>Option 1</v>
      </c>
      <c r="S7" s="68">
        <f>'Option 1'!W8</f>
        <v>1</v>
      </c>
      <c r="T7" s="73" t="str">
        <f>IF(ISBLANK('Option 1'!X8),"",'Option 1'!X8)</f>
        <v/>
      </c>
      <c r="U7" s="73" t="str">
        <f>IF(ISBLANK('Option 1'!Y8),"",'Option 1'!Y8)</f>
        <v/>
      </c>
      <c r="V7" s="68"/>
      <c r="W7" s="67"/>
    </row>
    <row r="8" spans="2:23" x14ac:dyDescent="0.35">
      <c r="B8" s="67"/>
      <c r="C8" s="73" t="str">
        <f>IF(ISBLANK($C$35),"",$C$35)</f>
        <v>Option 2</v>
      </c>
      <c r="D8" s="86">
        <f>IF($C8="","",D56)</f>
        <v>-2</v>
      </c>
      <c r="E8" s="86">
        <f t="shared" ref="E8:N8" si="1">IF($C8="","",E56+D8)</f>
        <v>-8</v>
      </c>
      <c r="F8" s="86">
        <f t="shared" si="1"/>
        <v>-7.5</v>
      </c>
      <c r="G8" s="86">
        <f t="shared" si="1"/>
        <v>-5</v>
      </c>
      <c r="H8" s="86">
        <f t="shared" si="1"/>
        <v>-3.5</v>
      </c>
      <c r="I8" s="86">
        <f t="shared" si="1"/>
        <v>-2</v>
      </c>
      <c r="J8" s="86">
        <f t="shared" si="1"/>
        <v>-0.5</v>
      </c>
      <c r="K8" s="86">
        <f t="shared" si="1"/>
        <v>1</v>
      </c>
      <c r="L8" s="86">
        <f t="shared" si="1"/>
        <v>2.5</v>
      </c>
      <c r="M8" s="86">
        <f t="shared" si="1"/>
        <v>4</v>
      </c>
      <c r="N8" s="86">
        <f t="shared" si="1"/>
        <v>5.5</v>
      </c>
      <c r="O8" s="67"/>
      <c r="Q8" s="67"/>
      <c r="R8" s="68"/>
      <c r="S8" s="68">
        <f>'Option 1'!W9</f>
        <v>2</v>
      </c>
      <c r="T8" s="73" t="str">
        <f>IF(ISBLANK('Option 1'!X9),"",'Option 1'!X9)</f>
        <v/>
      </c>
      <c r="U8" s="73" t="str">
        <f>IF(ISBLANK('Option 1'!Y9),"",'Option 1'!Y9)</f>
        <v/>
      </c>
      <c r="V8" s="68"/>
      <c r="W8" s="67"/>
    </row>
    <row r="9" spans="2:23" x14ac:dyDescent="0.35">
      <c r="B9" s="67"/>
      <c r="C9" s="73" t="str">
        <f>IF(ISBLANK($C$36),"",$C$36)</f>
        <v>Option 3</v>
      </c>
      <c r="D9" s="86">
        <f>IF($C9="","",D57)</f>
        <v>0</v>
      </c>
      <c r="E9" s="86">
        <f t="shared" ref="E9:N9" si="2">IF($C9="","",E57+D9)</f>
        <v>0</v>
      </c>
      <c r="F9" s="86">
        <f t="shared" si="2"/>
        <v>0</v>
      </c>
      <c r="G9" s="86">
        <f t="shared" si="2"/>
        <v>0</v>
      </c>
      <c r="H9" s="86">
        <f t="shared" si="2"/>
        <v>0</v>
      </c>
      <c r="I9" s="86">
        <f t="shared" si="2"/>
        <v>0</v>
      </c>
      <c r="J9" s="86">
        <f t="shared" si="2"/>
        <v>0</v>
      </c>
      <c r="K9" s="86">
        <f t="shared" si="2"/>
        <v>0</v>
      </c>
      <c r="L9" s="86">
        <f t="shared" si="2"/>
        <v>0</v>
      </c>
      <c r="M9" s="86">
        <f t="shared" si="2"/>
        <v>0</v>
      </c>
      <c r="N9" s="86">
        <f t="shared" si="2"/>
        <v>0</v>
      </c>
      <c r="O9" s="67"/>
      <c r="Q9" s="67"/>
      <c r="R9" s="68"/>
      <c r="S9" s="68">
        <f>'Option 1'!W10</f>
        <v>3</v>
      </c>
      <c r="T9" s="73" t="str">
        <f>IF(ISBLANK('Option 1'!X10),"",'Option 1'!X10)</f>
        <v/>
      </c>
      <c r="U9" s="73" t="str">
        <f>IF(ISBLANK('Option 1'!Y10),"",'Option 1'!Y10)</f>
        <v/>
      </c>
      <c r="V9" s="68"/>
      <c r="W9" s="67"/>
    </row>
    <row r="10" spans="2:23" x14ac:dyDescent="0.35">
      <c r="B10" s="67"/>
      <c r="C10" s="70" t="s">
        <v>79</v>
      </c>
      <c r="D10" s="71">
        <f>D$6</f>
        <v>2022</v>
      </c>
      <c r="E10" s="71">
        <f t="shared" ref="E10:N10" si="3">E$6</f>
        <v>2023</v>
      </c>
      <c r="F10" s="71">
        <f t="shared" si="3"/>
        <v>2024</v>
      </c>
      <c r="G10" s="71">
        <f t="shared" si="3"/>
        <v>2025</v>
      </c>
      <c r="H10" s="71">
        <f t="shared" si="3"/>
        <v>2026</v>
      </c>
      <c r="I10" s="71">
        <f t="shared" si="3"/>
        <v>2027</v>
      </c>
      <c r="J10" s="71">
        <f t="shared" si="3"/>
        <v>2028</v>
      </c>
      <c r="K10" s="71">
        <f t="shared" si="3"/>
        <v>2029</v>
      </c>
      <c r="L10" s="71">
        <f t="shared" si="3"/>
        <v>2030</v>
      </c>
      <c r="M10" s="71">
        <f t="shared" si="3"/>
        <v>2031</v>
      </c>
      <c r="N10" s="71">
        <f t="shared" si="3"/>
        <v>2032</v>
      </c>
      <c r="O10" s="67"/>
      <c r="Q10" s="67"/>
      <c r="R10" s="68"/>
      <c r="S10" s="68">
        <f>'Option 1'!W11</f>
        <v>4</v>
      </c>
      <c r="T10" s="73" t="str">
        <f>IF(ISBLANK('Option 1'!X11),"",'Option 1'!X11)</f>
        <v/>
      </c>
      <c r="U10" s="73" t="str">
        <f>IF(ISBLANK('Option 1'!Y11),"",'Option 1'!Y11)</f>
        <v/>
      </c>
      <c r="V10" s="68"/>
      <c r="W10" s="67"/>
    </row>
    <row r="11" spans="2:23" x14ac:dyDescent="0.35">
      <c r="B11" s="67"/>
      <c r="C11" s="72" t="str">
        <f>IF(ISBLANK($C$34),"",$C$34)</f>
        <v>Option 1</v>
      </c>
      <c r="D11" s="86">
        <f>IF($C11="","",D59)</f>
        <v>-2</v>
      </c>
      <c r="E11" s="86">
        <f t="shared" ref="E11:N11" si="4">IF($C11="","",E59+D11)</f>
        <v>-5</v>
      </c>
      <c r="F11" s="86">
        <f t="shared" si="4"/>
        <v>-6</v>
      </c>
      <c r="G11" s="86">
        <f t="shared" si="4"/>
        <v>-5</v>
      </c>
      <c r="H11" s="86">
        <f t="shared" si="4"/>
        <v>-5</v>
      </c>
      <c r="I11" s="86">
        <f t="shared" si="4"/>
        <v>-4</v>
      </c>
      <c r="J11" s="86">
        <f t="shared" si="4"/>
        <v>-3</v>
      </c>
      <c r="K11" s="86">
        <f t="shared" si="4"/>
        <v>-2</v>
      </c>
      <c r="L11" s="86">
        <f t="shared" si="4"/>
        <v>-1</v>
      </c>
      <c r="M11" s="86">
        <f t="shared" si="4"/>
        <v>0</v>
      </c>
      <c r="N11" s="86">
        <f t="shared" si="4"/>
        <v>1</v>
      </c>
      <c r="O11" s="67"/>
      <c r="Q11" s="67"/>
      <c r="R11" s="68"/>
      <c r="S11" s="68">
        <f>'Option 1'!W12</f>
        <v>5</v>
      </c>
      <c r="T11" s="73" t="str">
        <f>IF(ISBLANK('Option 1'!X12),"",'Option 1'!X12)</f>
        <v/>
      </c>
      <c r="U11" s="73" t="str">
        <f>IF(ISBLANK('Option 1'!Y12),"",'Option 1'!Y12)</f>
        <v/>
      </c>
      <c r="V11" s="68"/>
      <c r="W11" s="67"/>
    </row>
    <row r="12" spans="2:23" x14ac:dyDescent="0.35">
      <c r="B12" s="67"/>
      <c r="C12" s="73" t="str">
        <f>IF(ISBLANK($C$35),"",$C$35)</f>
        <v>Option 2</v>
      </c>
      <c r="D12" s="86">
        <f>IF($C12="","",D60)</f>
        <v>-2</v>
      </c>
      <c r="E12" s="86">
        <f t="shared" ref="E12:N12" si="5">IF($C12="","",E60+D12)</f>
        <v>-5</v>
      </c>
      <c r="F12" s="86">
        <f t="shared" si="5"/>
        <v>-5.5</v>
      </c>
      <c r="G12" s="86">
        <f t="shared" si="5"/>
        <v>-4</v>
      </c>
      <c r="H12" s="86">
        <f t="shared" si="5"/>
        <v>-3.5</v>
      </c>
      <c r="I12" s="86">
        <f t="shared" si="5"/>
        <v>-2</v>
      </c>
      <c r="J12" s="86">
        <f t="shared" si="5"/>
        <v>-0.5</v>
      </c>
      <c r="K12" s="86">
        <f t="shared" si="5"/>
        <v>1</v>
      </c>
      <c r="L12" s="86">
        <f t="shared" si="5"/>
        <v>2.5</v>
      </c>
      <c r="M12" s="86">
        <f t="shared" si="5"/>
        <v>4</v>
      </c>
      <c r="N12" s="86">
        <f t="shared" si="5"/>
        <v>5.5</v>
      </c>
      <c r="O12" s="67"/>
      <c r="Q12" s="67"/>
      <c r="R12" s="68"/>
      <c r="S12" s="68"/>
      <c r="T12" s="68"/>
      <c r="U12" s="68"/>
      <c r="V12" s="68"/>
      <c r="W12" s="67"/>
    </row>
    <row r="13" spans="2:23" x14ac:dyDescent="0.35">
      <c r="B13" s="67"/>
      <c r="C13" s="73" t="str">
        <f>IF(ISBLANK($C$36),"",$C$36)</f>
        <v>Option 3</v>
      </c>
      <c r="D13" s="86">
        <f>IF($C13="","",D61)</f>
        <v>0</v>
      </c>
      <c r="E13" s="86">
        <f t="shared" ref="E13:N13" si="6">IF($C13="","",E61+D13)</f>
        <v>0</v>
      </c>
      <c r="F13" s="86">
        <f t="shared" si="6"/>
        <v>0</v>
      </c>
      <c r="G13" s="86">
        <f t="shared" si="6"/>
        <v>0</v>
      </c>
      <c r="H13" s="86">
        <f t="shared" si="6"/>
        <v>0</v>
      </c>
      <c r="I13" s="86">
        <f t="shared" si="6"/>
        <v>0</v>
      </c>
      <c r="J13" s="86">
        <f t="shared" si="6"/>
        <v>0</v>
      </c>
      <c r="K13" s="86">
        <f t="shared" si="6"/>
        <v>0</v>
      </c>
      <c r="L13" s="86">
        <f t="shared" si="6"/>
        <v>0</v>
      </c>
      <c r="M13" s="86">
        <f t="shared" si="6"/>
        <v>0</v>
      </c>
      <c r="N13" s="86">
        <f t="shared" si="6"/>
        <v>0</v>
      </c>
      <c r="O13" s="67"/>
      <c r="Q13" s="67"/>
      <c r="R13" s="68"/>
      <c r="S13" s="68"/>
      <c r="T13" s="68" t="str">
        <f>'Option 2'!X7</f>
        <v>Benefit name</v>
      </c>
      <c r="U13" s="68" t="str">
        <f>'Option 2'!Y7</f>
        <v>Benefit description</v>
      </c>
      <c r="V13" s="68"/>
      <c r="W13" s="67"/>
    </row>
    <row r="14" spans="2:23" x14ac:dyDescent="0.35">
      <c r="B14" s="67"/>
      <c r="C14" s="67"/>
      <c r="D14" s="67"/>
      <c r="E14" s="67"/>
      <c r="F14" s="67"/>
      <c r="G14" s="67"/>
      <c r="H14" s="67"/>
      <c r="I14" s="67"/>
      <c r="J14" s="67"/>
      <c r="K14" s="67"/>
      <c r="L14" s="67"/>
      <c r="M14" s="67"/>
      <c r="N14" s="67"/>
      <c r="O14" s="67"/>
      <c r="Q14" s="67"/>
      <c r="R14" s="68" t="str">
        <f>IF(ISBLANK($C$35),"",$C$35)</f>
        <v>Option 2</v>
      </c>
      <c r="S14" s="68">
        <f>'Option 2'!W8</f>
        <v>1</v>
      </c>
      <c r="T14" s="73" t="str">
        <f>IF(ISBLANK('Option 2'!X8),"",'Option 1'!X8)</f>
        <v/>
      </c>
      <c r="U14" s="73" t="str">
        <f>IF(ISBLANK('Option 1'!Y8),"",'Option 1'!Y8)</f>
        <v/>
      </c>
      <c r="V14" s="68"/>
      <c r="W14" s="67"/>
    </row>
    <row r="15" spans="2:23" x14ac:dyDescent="0.35">
      <c r="B15" s="67"/>
      <c r="C15" s="67"/>
      <c r="D15" s="67"/>
      <c r="E15" s="67"/>
      <c r="F15" s="67"/>
      <c r="G15" s="67"/>
      <c r="H15" s="67"/>
      <c r="I15" s="67"/>
      <c r="J15" s="67"/>
      <c r="K15" s="67"/>
      <c r="L15" s="67"/>
      <c r="M15" s="67"/>
      <c r="N15" s="67"/>
      <c r="O15" s="67"/>
      <c r="Q15" s="67"/>
      <c r="R15" s="68"/>
      <c r="S15" s="68">
        <f>'Option 2'!W9</f>
        <v>2</v>
      </c>
      <c r="T15" s="73" t="str">
        <f>IF(ISBLANK('Option 2'!X9),"",'Option 1'!X9)</f>
        <v/>
      </c>
      <c r="U15" s="73" t="str">
        <f>IF(ISBLANK('Option 1'!Y9),"",'Option 1'!Y9)</f>
        <v/>
      </c>
      <c r="V15" s="68"/>
      <c r="W15" s="67"/>
    </row>
    <row r="16" spans="2:23" x14ac:dyDescent="0.35">
      <c r="B16" s="67"/>
      <c r="C16" s="67"/>
      <c r="D16" s="67"/>
      <c r="E16" s="67"/>
      <c r="F16" s="67"/>
      <c r="G16" s="67"/>
      <c r="H16" s="67"/>
      <c r="I16" s="67"/>
      <c r="J16" s="67"/>
      <c r="K16" s="67"/>
      <c r="L16" s="67"/>
      <c r="M16" s="67"/>
      <c r="N16" s="67"/>
      <c r="O16" s="67"/>
      <c r="Q16" s="67"/>
      <c r="R16" s="68"/>
      <c r="S16" s="68">
        <f>'Option 2'!W10</f>
        <v>3</v>
      </c>
      <c r="T16" s="73" t="str">
        <f>IF(ISBLANK('Option 2'!X10),"",'Option 1'!X10)</f>
        <v/>
      </c>
      <c r="U16" s="73" t="str">
        <f>IF(ISBLANK('Option 1'!Y10),"",'Option 1'!Y10)</f>
        <v/>
      </c>
      <c r="V16" s="68"/>
      <c r="W16" s="67"/>
    </row>
    <row r="17" spans="2:23" x14ac:dyDescent="0.35">
      <c r="B17" s="67"/>
      <c r="C17" s="67"/>
      <c r="D17" s="67"/>
      <c r="E17" s="67"/>
      <c r="F17" s="67"/>
      <c r="G17" s="67"/>
      <c r="H17" s="67"/>
      <c r="I17" s="67"/>
      <c r="J17" s="67"/>
      <c r="K17" s="67"/>
      <c r="L17" s="67"/>
      <c r="M17" s="67"/>
      <c r="N17" s="67"/>
      <c r="O17" s="67"/>
      <c r="Q17" s="67"/>
      <c r="R17" s="68"/>
      <c r="S17" s="68">
        <f>'Option 2'!W11</f>
        <v>4</v>
      </c>
      <c r="T17" s="73" t="str">
        <f>IF(ISBLANK('Option 2'!X11),"",'Option 1'!X11)</f>
        <v/>
      </c>
      <c r="U17" s="73" t="str">
        <f>IF(ISBLANK('Option 1'!Y11),"",'Option 1'!Y11)</f>
        <v/>
      </c>
      <c r="V17" s="68"/>
      <c r="W17" s="67"/>
    </row>
    <row r="18" spans="2:23" x14ac:dyDescent="0.35">
      <c r="B18" s="67"/>
      <c r="C18" s="67"/>
      <c r="D18" s="67"/>
      <c r="E18" s="67"/>
      <c r="F18" s="67"/>
      <c r="G18" s="67"/>
      <c r="H18" s="67"/>
      <c r="I18" s="67"/>
      <c r="J18" s="67"/>
      <c r="K18" s="67"/>
      <c r="L18" s="67"/>
      <c r="M18" s="67"/>
      <c r="N18" s="67"/>
      <c r="O18" s="67"/>
      <c r="Q18" s="67"/>
      <c r="R18" s="68"/>
      <c r="S18" s="68">
        <f>'Option 2'!W12</f>
        <v>5</v>
      </c>
      <c r="T18" s="73" t="str">
        <f>IF(ISBLANK('Option 2'!X12),"",'Option 1'!X12)</f>
        <v/>
      </c>
      <c r="U18" s="73" t="str">
        <f>IF(ISBLANK('Option 1'!Y12),"",'Option 1'!Y12)</f>
        <v/>
      </c>
      <c r="V18" s="68"/>
      <c r="W18" s="67"/>
    </row>
    <row r="19" spans="2:23" x14ac:dyDescent="0.35">
      <c r="B19" s="67"/>
      <c r="C19" s="67"/>
      <c r="D19" s="67"/>
      <c r="E19" s="67"/>
      <c r="F19" s="67"/>
      <c r="G19" s="67"/>
      <c r="H19" s="67"/>
      <c r="I19" s="67"/>
      <c r="J19" s="67"/>
      <c r="K19" s="67"/>
      <c r="L19" s="67"/>
      <c r="M19" s="67"/>
      <c r="N19" s="67"/>
      <c r="O19" s="67"/>
      <c r="Q19" s="67"/>
      <c r="R19" s="68"/>
      <c r="S19" s="68"/>
      <c r="T19" s="68"/>
      <c r="U19" s="68"/>
      <c r="V19" s="68"/>
      <c r="W19" s="67"/>
    </row>
    <row r="20" spans="2:23" x14ac:dyDescent="0.35">
      <c r="B20" s="67"/>
      <c r="C20" s="67"/>
      <c r="D20" s="67"/>
      <c r="E20" s="67"/>
      <c r="F20" s="67"/>
      <c r="G20" s="67"/>
      <c r="H20" s="67"/>
      <c r="I20" s="67"/>
      <c r="J20" s="67"/>
      <c r="K20" s="67"/>
      <c r="L20" s="67"/>
      <c r="M20" s="67"/>
      <c r="N20" s="67"/>
      <c r="O20" s="67"/>
      <c r="Q20" s="67"/>
      <c r="R20" s="68"/>
      <c r="S20" s="68"/>
      <c r="T20" s="68" t="str">
        <f>'Option 3'!X7</f>
        <v>Benefit name</v>
      </c>
      <c r="U20" s="68" t="str">
        <f>'Option 3'!Y7</f>
        <v>Benefit description</v>
      </c>
      <c r="V20" s="68"/>
      <c r="W20" s="67"/>
    </row>
    <row r="21" spans="2:23" x14ac:dyDescent="0.35">
      <c r="B21" s="67"/>
      <c r="C21" s="67"/>
      <c r="D21" s="67"/>
      <c r="E21" s="67"/>
      <c r="F21" s="67"/>
      <c r="G21" s="67"/>
      <c r="H21" s="67"/>
      <c r="I21" s="67"/>
      <c r="J21" s="67"/>
      <c r="K21" s="67"/>
      <c r="L21" s="67"/>
      <c r="M21" s="67"/>
      <c r="N21" s="67"/>
      <c r="O21" s="67"/>
      <c r="Q21" s="67"/>
      <c r="R21" s="68" t="str">
        <f>IF(ISBLANK($C$36),"",$C$36)</f>
        <v>Option 3</v>
      </c>
      <c r="S21" s="68">
        <f>'Option 3'!W8</f>
        <v>1</v>
      </c>
      <c r="T21" s="73" t="str">
        <f>IF(ISBLANK('Option 3'!X8),"",'Option 1'!X8)</f>
        <v/>
      </c>
      <c r="U21" s="73" t="str">
        <f>IF(ISBLANK('Option 3'!Y8),"",'Option 1'!Y8)</f>
        <v/>
      </c>
      <c r="V21" s="68"/>
      <c r="W21" s="67"/>
    </row>
    <row r="22" spans="2:23" x14ac:dyDescent="0.35">
      <c r="B22" s="67"/>
      <c r="C22" s="67"/>
      <c r="D22" s="67"/>
      <c r="E22" s="67"/>
      <c r="F22" s="67"/>
      <c r="G22" s="67"/>
      <c r="H22" s="67"/>
      <c r="I22" s="67"/>
      <c r="J22" s="67"/>
      <c r="K22" s="67"/>
      <c r="L22" s="67"/>
      <c r="M22" s="67"/>
      <c r="N22" s="67"/>
      <c r="O22" s="67"/>
      <c r="Q22" s="67"/>
      <c r="R22" s="68"/>
      <c r="S22" s="68">
        <f>'Option 3'!W9</f>
        <v>2</v>
      </c>
      <c r="T22" s="73" t="str">
        <f>IF(ISBLANK('Option 3'!X9),"",'Option 1'!X9)</f>
        <v/>
      </c>
      <c r="U22" s="73" t="str">
        <f>IF(ISBLANK('Option 3'!Y9),"",'Option 1'!Y9)</f>
        <v/>
      </c>
      <c r="V22" s="68"/>
      <c r="W22" s="67"/>
    </row>
    <row r="23" spans="2:23" x14ac:dyDescent="0.35">
      <c r="B23" s="67"/>
      <c r="C23" s="67"/>
      <c r="D23" s="67"/>
      <c r="E23" s="67"/>
      <c r="F23" s="67"/>
      <c r="G23" s="67"/>
      <c r="H23" s="67"/>
      <c r="I23" s="67"/>
      <c r="J23" s="67"/>
      <c r="K23" s="67"/>
      <c r="L23" s="67"/>
      <c r="M23" s="67"/>
      <c r="N23" s="67"/>
      <c r="O23" s="67"/>
      <c r="Q23" s="67"/>
      <c r="R23" s="68"/>
      <c r="S23" s="68">
        <f>'Option 3'!W10</f>
        <v>3</v>
      </c>
      <c r="T23" s="73" t="str">
        <f>IF(ISBLANK('Option 3'!X10),"",'Option 1'!X10)</f>
        <v/>
      </c>
      <c r="U23" s="73" t="str">
        <f>IF(ISBLANK('Option 3'!Y10),"",'Option 1'!Y10)</f>
        <v/>
      </c>
      <c r="V23" s="68"/>
      <c r="W23" s="67"/>
    </row>
    <row r="24" spans="2:23" x14ac:dyDescent="0.35">
      <c r="B24" s="67"/>
      <c r="C24" s="67"/>
      <c r="D24" s="67"/>
      <c r="E24" s="67"/>
      <c r="F24" s="67"/>
      <c r="G24" s="67"/>
      <c r="H24" s="67"/>
      <c r="I24" s="67"/>
      <c r="J24" s="67"/>
      <c r="K24" s="67"/>
      <c r="L24" s="67"/>
      <c r="M24" s="67"/>
      <c r="N24" s="67"/>
      <c r="O24" s="67"/>
      <c r="Q24" s="67"/>
      <c r="R24" s="68"/>
      <c r="S24" s="68">
        <f>'Option 3'!W11</f>
        <v>4</v>
      </c>
      <c r="T24" s="73" t="str">
        <f>IF(ISBLANK('Option 3'!X11),"",'Option 1'!X11)</f>
        <v/>
      </c>
      <c r="U24" s="73" t="str">
        <f>IF(ISBLANK('Option 3'!Y11),"",'Option 1'!Y11)</f>
        <v/>
      </c>
      <c r="V24" s="68"/>
      <c r="W24" s="67"/>
    </row>
    <row r="25" spans="2:23" x14ac:dyDescent="0.35">
      <c r="B25" s="67"/>
      <c r="C25" s="67"/>
      <c r="D25" s="67"/>
      <c r="E25" s="67"/>
      <c r="F25" s="67"/>
      <c r="G25" s="67"/>
      <c r="H25" s="67"/>
      <c r="I25" s="67"/>
      <c r="J25" s="67"/>
      <c r="K25" s="67"/>
      <c r="L25" s="67"/>
      <c r="M25" s="67"/>
      <c r="N25" s="67"/>
      <c r="O25" s="67"/>
      <c r="Q25" s="67"/>
      <c r="R25" s="68"/>
      <c r="S25" s="68">
        <f>'Option 3'!W12</f>
        <v>5</v>
      </c>
      <c r="T25" s="73" t="str">
        <f>IF(ISBLANK('Option 3'!X12),"",'Option 1'!X12)</f>
        <v/>
      </c>
      <c r="U25" s="73" t="str">
        <f>IF(ISBLANK('Option 3'!Y12),"",'Option 1'!Y12)</f>
        <v/>
      </c>
      <c r="V25" s="68"/>
      <c r="W25" s="67"/>
    </row>
    <row r="26" spans="2:23" x14ac:dyDescent="0.35">
      <c r="B26" s="67"/>
      <c r="C26" s="67"/>
      <c r="D26" s="67"/>
      <c r="E26" s="67"/>
      <c r="F26" s="67"/>
      <c r="G26" s="67"/>
      <c r="H26" s="67"/>
      <c r="I26" s="67"/>
      <c r="J26" s="67"/>
      <c r="K26" s="67"/>
      <c r="L26" s="67"/>
      <c r="M26" s="67"/>
      <c r="N26" s="67"/>
      <c r="O26" s="67"/>
      <c r="Q26" s="67"/>
      <c r="R26" s="68"/>
      <c r="S26" s="68"/>
      <c r="T26" s="68"/>
      <c r="U26" s="68"/>
      <c r="V26" s="68"/>
      <c r="W26" s="67"/>
    </row>
    <row r="27" spans="2:23" x14ac:dyDescent="0.35">
      <c r="B27" s="67"/>
      <c r="C27" s="67"/>
      <c r="D27" s="67"/>
      <c r="E27" s="67"/>
      <c r="F27" s="67"/>
      <c r="G27" s="67"/>
      <c r="H27" s="67"/>
      <c r="I27" s="67"/>
      <c r="J27" s="67"/>
      <c r="K27" s="67"/>
      <c r="L27" s="67"/>
      <c r="M27" s="67"/>
      <c r="N27" s="67"/>
      <c r="O27" s="67"/>
      <c r="Q27" s="67"/>
      <c r="R27" s="67"/>
      <c r="S27" s="67"/>
      <c r="T27" s="67"/>
      <c r="U27" s="67"/>
      <c r="V27" s="67"/>
      <c r="W27" s="67"/>
    </row>
    <row r="28" spans="2:23" x14ac:dyDescent="0.35">
      <c r="B28" s="67"/>
      <c r="C28" s="67"/>
      <c r="D28" s="67"/>
      <c r="E28" s="67"/>
      <c r="F28" s="67"/>
      <c r="G28" s="67"/>
      <c r="H28" s="67"/>
      <c r="I28" s="67"/>
      <c r="J28" s="67"/>
      <c r="K28" s="67"/>
      <c r="L28" s="67"/>
      <c r="M28" s="67"/>
      <c r="N28" s="67"/>
      <c r="O28" s="67"/>
    </row>
    <row r="30" spans="2:23" ht="21" x14ac:dyDescent="0.5">
      <c r="B30" s="67"/>
      <c r="C30" s="66" t="s">
        <v>80</v>
      </c>
      <c r="D30" s="67"/>
      <c r="E30" s="67"/>
      <c r="F30" s="67"/>
      <c r="G30" s="67"/>
      <c r="H30" s="67"/>
      <c r="I30" s="67"/>
      <c r="J30" s="67"/>
      <c r="K30" s="67"/>
      <c r="L30" s="67"/>
      <c r="M30" s="67"/>
      <c r="N30" s="67"/>
      <c r="O30" s="67"/>
    </row>
    <row r="31" spans="2:23" x14ac:dyDescent="0.35">
      <c r="B31" s="67"/>
      <c r="C31" s="74" t="str">
        <f>CONCATENATE("Discounted  with ", 'Viability comparison'!D6*100, "% discount rate.")</f>
        <v>Discounted  with 0% discount rate.</v>
      </c>
      <c r="D31" s="67"/>
      <c r="E31" s="67"/>
      <c r="F31" s="67"/>
      <c r="G31" s="67"/>
      <c r="H31" s="67"/>
      <c r="I31" s="67"/>
      <c r="J31" s="67"/>
      <c r="K31" s="67"/>
      <c r="L31" s="67"/>
      <c r="M31" s="67"/>
      <c r="N31" s="67"/>
      <c r="O31" s="67"/>
    </row>
    <row r="32" spans="2:23" x14ac:dyDescent="0.35">
      <c r="B32" s="67"/>
      <c r="C32" s="75" t="s">
        <v>0</v>
      </c>
      <c r="D32" s="76">
        <f t="shared" ref="D32:N32" si="7">D$6</f>
        <v>2022</v>
      </c>
      <c r="E32" s="76">
        <f t="shared" si="7"/>
        <v>2023</v>
      </c>
      <c r="F32" s="76">
        <f t="shared" si="7"/>
        <v>2024</v>
      </c>
      <c r="G32" s="76">
        <f t="shared" si="7"/>
        <v>2025</v>
      </c>
      <c r="H32" s="76">
        <f t="shared" si="7"/>
        <v>2026</v>
      </c>
      <c r="I32" s="76">
        <f t="shared" si="7"/>
        <v>2027</v>
      </c>
      <c r="J32" s="76">
        <f t="shared" si="7"/>
        <v>2028</v>
      </c>
      <c r="K32" s="76">
        <f t="shared" si="7"/>
        <v>2029</v>
      </c>
      <c r="L32" s="76">
        <f t="shared" si="7"/>
        <v>2030</v>
      </c>
      <c r="M32" s="76">
        <f t="shared" si="7"/>
        <v>2031</v>
      </c>
      <c r="N32" s="76">
        <f t="shared" si="7"/>
        <v>2032</v>
      </c>
      <c r="O32" s="67"/>
    </row>
    <row r="33" spans="2:15" x14ac:dyDescent="0.35">
      <c r="B33" s="67"/>
      <c r="C33" s="77" t="s">
        <v>81</v>
      </c>
      <c r="D33" s="78"/>
      <c r="E33" s="78"/>
      <c r="F33" s="78"/>
      <c r="G33" s="78"/>
      <c r="H33" s="78"/>
      <c r="I33" s="78"/>
      <c r="J33" s="78"/>
      <c r="K33" s="78"/>
      <c r="L33" s="78"/>
      <c r="M33" s="78"/>
      <c r="N33" s="79"/>
      <c r="O33" s="67"/>
    </row>
    <row r="34" spans="2:15" x14ac:dyDescent="0.35">
      <c r="B34" s="67"/>
      <c r="C34" s="72" t="s">
        <v>82</v>
      </c>
      <c r="D34" s="86">
        <f>'Option 1'!F$23</f>
        <v>2</v>
      </c>
      <c r="E34" s="86">
        <f>'Option 1'!G$23</f>
        <v>6</v>
      </c>
      <c r="F34" s="86">
        <f>'Option 1'!H$23</f>
        <v>0</v>
      </c>
      <c r="G34" s="86">
        <f>'Option 1'!I$23</f>
        <v>0</v>
      </c>
      <c r="H34" s="86">
        <f>'Option 1'!J$23</f>
        <v>0</v>
      </c>
      <c r="I34" s="86">
        <f>'Option 1'!K$23</f>
        <v>0</v>
      </c>
      <c r="J34" s="86">
        <f>'Option 1'!L$23</f>
        <v>0</v>
      </c>
      <c r="K34" s="86">
        <f>'Option 1'!M$23</f>
        <v>0</v>
      </c>
      <c r="L34" s="86">
        <f>'Option 1'!N$23</f>
        <v>0</v>
      </c>
      <c r="M34" s="86">
        <f>'Option 1'!O$23</f>
        <v>0</v>
      </c>
      <c r="N34" s="86">
        <f>'Option 1'!P$23</f>
        <v>0</v>
      </c>
      <c r="O34" s="67"/>
    </row>
    <row r="35" spans="2:15" x14ac:dyDescent="0.35">
      <c r="B35" s="67"/>
      <c r="C35" s="73" t="s">
        <v>83</v>
      </c>
      <c r="D35" s="86">
        <f>'Option 2'!F$23</f>
        <v>2</v>
      </c>
      <c r="E35" s="86">
        <f>'Option 2'!G$23</f>
        <v>6</v>
      </c>
      <c r="F35" s="86">
        <f>'Option 2'!H$23</f>
        <v>0</v>
      </c>
      <c r="G35" s="86">
        <f>'Option 2'!I$23</f>
        <v>0</v>
      </c>
      <c r="H35" s="86">
        <f>'Option 2'!J$23</f>
        <v>0</v>
      </c>
      <c r="I35" s="86">
        <f>'Option 2'!K$23</f>
        <v>0</v>
      </c>
      <c r="J35" s="86">
        <f>'Option 2'!L$23</f>
        <v>0</v>
      </c>
      <c r="K35" s="86">
        <f>'Option 2'!M$23</f>
        <v>0</v>
      </c>
      <c r="L35" s="86">
        <f>'Option 2'!N$23</f>
        <v>0</v>
      </c>
      <c r="M35" s="86">
        <f>'Option 2'!O$23</f>
        <v>0</v>
      </c>
      <c r="N35" s="86">
        <f>'Option 2'!P$23</f>
        <v>0</v>
      </c>
      <c r="O35" s="67"/>
    </row>
    <row r="36" spans="2:15" x14ac:dyDescent="0.35">
      <c r="B36" s="67"/>
      <c r="C36" s="73" t="s">
        <v>84</v>
      </c>
      <c r="D36" s="86">
        <f>'Option 3'!F$23</f>
        <v>0</v>
      </c>
      <c r="E36" s="86">
        <f>'Option 3'!G$23</f>
        <v>0</v>
      </c>
      <c r="F36" s="86">
        <f>'Option 3'!H$23</f>
        <v>0</v>
      </c>
      <c r="G36" s="86">
        <f>'Option 3'!I$23</f>
        <v>0</v>
      </c>
      <c r="H36" s="86">
        <f>'Option 3'!J$23</f>
        <v>0</v>
      </c>
      <c r="I36" s="86">
        <f>'Option 3'!K$23</f>
        <v>0</v>
      </c>
      <c r="J36" s="86">
        <f>'Option 3'!L$23</f>
        <v>0</v>
      </c>
      <c r="K36" s="86">
        <f>'Option 3'!M$23</f>
        <v>0</v>
      </c>
      <c r="L36" s="86">
        <f>'Option 3'!N$23</f>
        <v>0</v>
      </c>
      <c r="M36" s="86">
        <f>'Option 3'!O$23</f>
        <v>0</v>
      </c>
      <c r="N36" s="86">
        <f>'Option 3'!P$23</f>
        <v>0</v>
      </c>
      <c r="O36" s="67"/>
    </row>
    <row r="37" spans="2:15" x14ac:dyDescent="0.35">
      <c r="B37" s="67"/>
      <c r="C37" s="77" t="s">
        <v>85</v>
      </c>
      <c r="D37" s="78"/>
      <c r="E37" s="78"/>
      <c r="F37" s="78"/>
      <c r="G37" s="78"/>
      <c r="H37" s="78"/>
      <c r="I37" s="78"/>
      <c r="J37" s="78"/>
      <c r="K37" s="78"/>
      <c r="L37" s="78"/>
      <c r="M37" s="78"/>
      <c r="N37" s="79"/>
      <c r="O37" s="67"/>
    </row>
    <row r="38" spans="2:15" x14ac:dyDescent="0.35">
      <c r="B38" s="67"/>
      <c r="C38" s="72" t="str">
        <f>IF(ISBLANK($C$34),"",$C$34)</f>
        <v>Option 1</v>
      </c>
      <c r="D38" s="86">
        <f>'Option 1'!F$45</f>
        <v>2</v>
      </c>
      <c r="E38" s="86">
        <f>'Option 1'!G$45</f>
        <v>3</v>
      </c>
      <c r="F38" s="86">
        <f>'Option 1'!H$45</f>
        <v>1</v>
      </c>
      <c r="G38" s="86">
        <f>'Option 1'!I$45</f>
        <v>1</v>
      </c>
      <c r="H38" s="86">
        <f>'Option 1'!J$45</f>
        <v>1</v>
      </c>
      <c r="I38" s="86">
        <f>'Option 1'!K$45</f>
        <v>0</v>
      </c>
      <c r="J38" s="86">
        <f>'Option 1'!L$45</f>
        <v>0</v>
      </c>
      <c r="K38" s="86">
        <f>'Option 1'!M$45</f>
        <v>0</v>
      </c>
      <c r="L38" s="86">
        <f>'Option 1'!N$45</f>
        <v>0</v>
      </c>
      <c r="M38" s="86">
        <f>'Option 1'!O$45</f>
        <v>0</v>
      </c>
      <c r="N38" s="86">
        <f>'Option 1'!P$45</f>
        <v>0</v>
      </c>
      <c r="O38" s="67"/>
    </row>
    <row r="39" spans="2:15" x14ac:dyDescent="0.35">
      <c r="B39" s="67"/>
      <c r="C39" s="73" t="str">
        <f>IF(ISBLANK($C$35),"",$C$35)</f>
        <v>Option 2</v>
      </c>
      <c r="D39" s="86">
        <f>'Option 2'!F$45</f>
        <v>2</v>
      </c>
      <c r="E39" s="86">
        <f>'Option 2'!G$45</f>
        <v>3</v>
      </c>
      <c r="F39" s="86">
        <f>'Option 2'!H$45</f>
        <v>1</v>
      </c>
      <c r="G39" s="86">
        <f>'Option 2'!I$45</f>
        <v>1</v>
      </c>
      <c r="H39" s="86">
        <f>'Option 2'!J$45</f>
        <v>1</v>
      </c>
      <c r="I39" s="86">
        <f>'Option 2'!K$45</f>
        <v>0</v>
      </c>
      <c r="J39" s="86">
        <f>'Option 2'!L$45</f>
        <v>0</v>
      </c>
      <c r="K39" s="86">
        <f>'Option 2'!M$45</f>
        <v>0</v>
      </c>
      <c r="L39" s="86">
        <f>'Option 2'!N$45</f>
        <v>0</v>
      </c>
      <c r="M39" s="86">
        <f>'Option 2'!O$45</f>
        <v>0</v>
      </c>
      <c r="N39" s="86">
        <f>'Option 2'!P$45</f>
        <v>0</v>
      </c>
      <c r="O39" s="67"/>
    </row>
    <row r="40" spans="2:15" x14ac:dyDescent="0.35">
      <c r="B40" s="67"/>
      <c r="C40" s="73" t="str">
        <f>IF(ISBLANK($C$36),"",$C$36)</f>
        <v>Option 3</v>
      </c>
      <c r="D40" s="86">
        <f>'Option 3'!F$45</f>
        <v>0</v>
      </c>
      <c r="E40" s="86">
        <f>'Option 3'!G$45</f>
        <v>0</v>
      </c>
      <c r="F40" s="86">
        <f>'Option 3'!H$45</f>
        <v>0</v>
      </c>
      <c r="G40" s="86">
        <f>'Option 3'!I$45</f>
        <v>0</v>
      </c>
      <c r="H40" s="86">
        <f>'Option 3'!J$45</f>
        <v>0</v>
      </c>
      <c r="I40" s="86">
        <f>'Option 3'!K$45</f>
        <v>0</v>
      </c>
      <c r="J40" s="86">
        <f>'Option 3'!L$45</f>
        <v>0</v>
      </c>
      <c r="K40" s="86">
        <f>'Option 3'!M$45</f>
        <v>0</v>
      </c>
      <c r="L40" s="86">
        <f>'Option 3'!N$45</f>
        <v>0</v>
      </c>
      <c r="M40" s="86">
        <f>'Option 3'!O$45</f>
        <v>0</v>
      </c>
      <c r="N40" s="86">
        <f>'Option 3'!P$45</f>
        <v>0</v>
      </c>
      <c r="O40" s="67"/>
    </row>
    <row r="41" spans="2:15" x14ac:dyDescent="0.35">
      <c r="B41" s="67"/>
      <c r="C41" s="77" t="s">
        <v>86</v>
      </c>
      <c r="D41" s="78"/>
      <c r="E41" s="78"/>
      <c r="F41" s="78"/>
      <c r="G41" s="78"/>
      <c r="H41" s="78"/>
      <c r="I41" s="78"/>
      <c r="J41" s="78"/>
      <c r="K41" s="78"/>
      <c r="L41" s="78"/>
      <c r="M41" s="78"/>
      <c r="N41" s="79"/>
      <c r="O41" s="67"/>
    </row>
    <row r="42" spans="2:15" x14ac:dyDescent="0.35">
      <c r="B42" s="67"/>
      <c r="C42" s="72" t="str">
        <f>IF(ISBLANK($C$34),"",$C$34)</f>
        <v>Option 1</v>
      </c>
      <c r="D42" s="86">
        <f>'Option 1'!F$68</f>
        <v>0</v>
      </c>
      <c r="E42" s="86">
        <f>'Option 1'!G$68</f>
        <v>0</v>
      </c>
      <c r="F42" s="86">
        <f>'Option 1'!H$68</f>
        <v>4</v>
      </c>
      <c r="G42" s="86">
        <f>'Option 1'!I$68</f>
        <v>4</v>
      </c>
      <c r="H42" s="86">
        <f>'Option 1'!J$68</f>
        <v>4</v>
      </c>
      <c r="I42" s="86">
        <f>'Option 1'!K$68</f>
        <v>4</v>
      </c>
      <c r="J42" s="86">
        <f>'Option 1'!L$68</f>
        <v>4</v>
      </c>
      <c r="K42" s="86">
        <f>'Option 1'!M$68</f>
        <v>4</v>
      </c>
      <c r="L42" s="86">
        <f>'Option 1'!N$68</f>
        <v>4</v>
      </c>
      <c r="M42" s="86">
        <f>'Option 1'!O$68</f>
        <v>4</v>
      </c>
      <c r="N42" s="86">
        <f>'Option 1'!P$68</f>
        <v>4</v>
      </c>
      <c r="O42" s="67"/>
    </row>
    <row r="43" spans="2:15" x14ac:dyDescent="0.35">
      <c r="B43" s="67"/>
      <c r="C43" s="73" t="str">
        <f>IF(ISBLANK($C$35),"",$C$35)</f>
        <v>Option 2</v>
      </c>
      <c r="D43" s="86">
        <f>'Option 2'!F$68</f>
        <v>0</v>
      </c>
      <c r="E43" s="86">
        <f>'Option 2'!G$68</f>
        <v>0</v>
      </c>
      <c r="F43" s="86">
        <f>'Option 2'!H$68</f>
        <v>3.5</v>
      </c>
      <c r="G43" s="86">
        <f>'Option 2'!I$68</f>
        <v>3.5</v>
      </c>
      <c r="H43" s="86">
        <f>'Option 2'!J$68</f>
        <v>3.5</v>
      </c>
      <c r="I43" s="86">
        <f>'Option 2'!K$68</f>
        <v>3.5</v>
      </c>
      <c r="J43" s="86">
        <f>'Option 2'!L$68</f>
        <v>3.5</v>
      </c>
      <c r="K43" s="86">
        <f>'Option 2'!M$68</f>
        <v>3.5</v>
      </c>
      <c r="L43" s="86">
        <f>'Option 2'!N$68</f>
        <v>3.5</v>
      </c>
      <c r="M43" s="86">
        <f>'Option 2'!O$68</f>
        <v>3.5</v>
      </c>
      <c r="N43" s="86">
        <f>'Option 2'!P$68</f>
        <v>3.5</v>
      </c>
      <c r="O43" s="67"/>
    </row>
    <row r="44" spans="2:15" x14ac:dyDescent="0.35">
      <c r="B44" s="67"/>
      <c r="C44" s="73" t="str">
        <f>IF(ISBLANK($C$36),"",$C$36)</f>
        <v>Option 3</v>
      </c>
      <c r="D44" s="86">
        <f>'Option 3'!F$68</f>
        <v>0</v>
      </c>
      <c r="E44" s="86">
        <f>'Option 3'!G$68</f>
        <v>0</v>
      </c>
      <c r="F44" s="86">
        <f>'Option 3'!H$68</f>
        <v>0</v>
      </c>
      <c r="G44" s="86">
        <f>'Option 3'!I$68</f>
        <v>0</v>
      </c>
      <c r="H44" s="86">
        <f>'Option 3'!J$68</f>
        <v>0</v>
      </c>
      <c r="I44" s="86">
        <f>'Option 3'!K$68</f>
        <v>0</v>
      </c>
      <c r="J44" s="86">
        <f>'Option 3'!L$68</f>
        <v>0</v>
      </c>
      <c r="K44" s="86">
        <f>'Option 3'!M$68</f>
        <v>0</v>
      </c>
      <c r="L44" s="86">
        <f>'Option 3'!N$68</f>
        <v>0</v>
      </c>
      <c r="M44" s="86">
        <f>'Option 3'!O$68</f>
        <v>0</v>
      </c>
      <c r="N44" s="86">
        <f>'Option 3'!P$68</f>
        <v>0</v>
      </c>
      <c r="O44" s="67"/>
    </row>
    <row r="45" spans="2:15" x14ac:dyDescent="0.35">
      <c r="B45" s="67"/>
      <c r="C45" s="77" t="s">
        <v>87</v>
      </c>
      <c r="D45" s="78"/>
      <c r="E45" s="78"/>
      <c r="F45" s="78"/>
      <c r="G45" s="78"/>
      <c r="H45" s="78"/>
      <c r="I45" s="78"/>
      <c r="J45" s="78"/>
      <c r="K45" s="78"/>
      <c r="L45" s="78"/>
      <c r="M45" s="78"/>
      <c r="N45" s="79"/>
      <c r="O45" s="67"/>
    </row>
    <row r="46" spans="2:15" x14ac:dyDescent="0.35">
      <c r="B46" s="67"/>
      <c r="C46" s="72" t="str">
        <f>IF(ISBLANK($C$34),"",$C$34)</f>
        <v>Option 1</v>
      </c>
      <c r="D46" s="86">
        <f>'Option 1'!F$105</f>
        <v>0</v>
      </c>
      <c r="E46" s="86">
        <f>'Option 1'!G$105</f>
        <v>0</v>
      </c>
      <c r="F46" s="86">
        <f>'Option 1'!H$105</f>
        <v>4</v>
      </c>
      <c r="G46" s="86">
        <f>'Option 1'!I$105</f>
        <v>6</v>
      </c>
      <c r="H46" s="86">
        <f>'Option 1'!J$105</f>
        <v>5</v>
      </c>
      <c r="I46" s="86">
        <f>'Option 1'!K$105</f>
        <v>5</v>
      </c>
      <c r="J46" s="86">
        <f>'Option 1'!L$105</f>
        <v>5</v>
      </c>
      <c r="K46" s="86">
        <f>'Option 1'!M$105</f>
        <v>5</v>
      </c>
      <c r="L46" s="86">
        <f>'Option 1'!N$105</f>
        <v>5</v>
      </c>
      <c r="M46" s="86">
        <f>'Option 1'!O$105</f>
        <v>5</v>
      </c>
      <c r="N46" s="86">
        <f>'Option 1'!P$105</f>
        <v>5</v>
      </c>
      <c r="O46" s="67"/>
    </row>
    <row r="47" spans="2:15" x14ac:dyDescent="0.35">
      <c r="B47" s="67"/>
      <c r="C47" s="73" t="str">
        <f>IF(ISBLANK($C$35),"",$C$35)</f>
        <v>Option 2</v>
      </c>
      <c r="D47" s="86">
        <f>'Option 2'!F$105</f>
        <v>0</v>
      </c>
      <c r="E47" s="86">
        <f>'Option 2'!G$105</f>
        <v>0</v>
      </c>
      <c r="F47" s="86">
        <f>'Option 2'!H$105</f>
        <v>4</v>
      </c>
      <c r="G47" s="86">
        <f>'Option 2'!I$105</f>
        <v>6</v>
      </c>
      <c r="H47" s="86">
        <f>'Option 2'!J$105</f>
        <v>5</v>
      </c>
      <c r="I47" s="86">
        <f>'Option 2'!K$105</f>
        <v>5</v>
      </c>
      <c r="J47" s="86">
        <f>'Option 2'!L$105</f>
        <v>5</v>
      </c>
      <c r="K47" s="86">
        <f>'Option 2'!M$105</f>
        <v>5</v>
      </c>
      <c r="L47" s="86">
        <f>'Option 2'!N$105</f>
        <v>5</v>
      </c>
      <c r="M47" s="86">
        <f>'Option 2'!O$105</f>
        <v>5</v>
      </c>
      <c r="N47" s="86">
        <f>'Option 2'!P$105</f>
        <v>5</v>
      </c>
      <c r="O47" s="67"/>
    </row>
    <row r="48" spans="2:15" x14ac:dyDescent="0.35">
      <c r="B48" s="67"/>
      <c r="C48" s="73" t="str">
        <f>IF(ISBLANK($C$36),"",$C$36)</f>
        <v>Option 3</v>
      </c>
      <c r="D48" s="86">
        <f>'Option 3'!F$105</f>
        <v>0</v>
      </c>
      <c r="E48" s="86">
        <f>'Option 3'!G$105</f>
        <v>0</v>
      </c>
      <c r="F48" s="86">
        <f>'Option 3'!H$105</f>
        <v>0</v>
      </c>
      <c r="G48" s="86">
        <f>'Option 3'!I$105</f>
        <v>0</v>
      </c>
      <c r="H48" s="86">
        <f>'Option 3'!J$105</f>
        <v>0</v>
      </c>
      <c r="I48" s="86">
        <f>'Option 3'!K$105</f>
        <v>0</v>
      </c>
      <c r="J48" s="86">
        <f>'Option 3'!L$105</f>
        <v>0</v>
      </c>
      <c r="K48" s="86">
        <f>'Option 3'!M$105</f>
        <v>0</v>
      </c>
      <c r="L48" s="86">
        <f>'Option 3'!N$105</f>
        <v>0</v>
      </c>
      <c r="M48" s="86">
        <f>'Option 3'!O$105</f>
        <v>0</v>
      </c>
      <c r="N48" s="86">
        <f>'Option 3'!P$105</f>
        <v>0</v>
      </c>
      <c r="O48" s="67"/>
    </row>
    <row r="49" spans="2:15" x14ac:dyDescent="0.35">
      <c r="B49" s="67"/>
      <c r="C49" s="77" t="s">
        <v>88</v>
      </c>
      <c r="D49" s="78"/>
      <c r="E49" s="78"/>
      <c r="F49" s="78"/>
      <c r="G49" s="78"/>
      <c r="H49" s="78"/>
      <c r="I49" s="78"/>
      <c r="J49" s="78"/>
      <c r="K49" s="78"/>
      <c r="L49" s="78"/>
      <c r="M49" s="78"/>
      <c r="N49" s="79"/>
      <c r="O49" s="67"/>
    </row>
    <row r="50" spans="2:15" x14ac:dyDescent="0.35">
      <c r="B50" s="67"/>
      <c r="C50" s="72" t="str">
        <f>IF(ISBLANK($C$34),"",$C$34)</f>
        <v>Option 1</v>
      </c>
      <c r="D50" s="86">
        <f>'Option 1'!F$125</f>
        <v>0</v>
      </c>
      <c r="E50" s="86">
        <f>'Option 1'!G$125</f>
        <v>0</v>
      </c>
      <c r="F50" s="86">
        <f>'Option 1'!H$125</f>
        <v>0</v>
      </c>
      <c r="G50" s="86">
        <f>'Option 1'!I$125</f>
        <v>0</v>
      </c>
      <c r="H50" s="86">
        <f>'Option 1'!J$125</f>
        <v>0</v>
      </c>
      <c r="I50" s="86">
        <f>'Option 1'!K$125</f>
        <v>0</v>
      </c>
      <c r="J50" s="86">
        <f>'Option 1'!L$125</f>
        <v>0</v>
      </c>
      <c r="K50" s="86">
        <f>'Option 1'!M$125</f>
        <v>0</v>
      </c>
      <c r="L50" s="86">
        <f>'Option 1'!N$125</f>
        <v>0</v>
      </c>
      <c r="M50" s="86">
        <f>'Option 1'!O$125</f>
        <v>0</v>
      </c>
      <c r="N50" s="86">
        <f>'Option 1'!P$125</f>
        <v>0</v>
      </c>
      <c r="O50" s="67"/>
    </row>
    <row r="51" spans="2:15" x14ac:dyDescent="0.35">
      <c r="B51" s="67"/>
      <c r="C51" s="73" t="str">
        <f>IF(ISBLANK($C$35),"",$C$35)</f>
        <v>Option 2</v>
      </c>
      <c r="D51" s="86">
        <f>'Option 2'!F$125</f>
        <v>0</v>
      </c>
      <c r="E51" s="86">
        <f>'Option 2'!G$125</f>
        <v>0</v>
      </c>
      <c r="F51" s="86">
        <f>'Option 2'!H$125</f>
        <v>0</v>
      </c>
      <c r="G51" s="86">
        <f>'Option 2'!I$125</f>
        <v>0</v>
      </c>
      <c r="H51" s="86">
        <f>'Option 2'!J$125</f>
        <v>0</v>
      </c>
      <c r="I51" s="86">
        <f>'Option 2'!K$125</f>
        <v>0</v>
      </c>
      <c r="J51" s="86">
        <f>'Option 2'!L$125</f>
        <v>0</v>
      </c>
      <c r="K51" s="86">
        <f>'Option 2'!M$125</f>
        <v>0</v>
      </c>
      <c r="L51" s="86">
        <f>'Option 2'!N$125</f>
        <v>0</v>
      </c>
      <c r="M51" s="86">
        <f>'Option 2'!O$125</f>
        <v>0</v>
      </c>
      <c r="N51" s="86">
        <f>'Option 2'!P$125</f>
        <v>0</v>
      </c>
      <c r="O51" s="67"/>
    </row>
    <row r="52" spans="2:15" x14ac:dyDescent="0.35">
      <c r="B52" s="67"/>
      <c r="C52" s="73" t="str">
        <f>IF(ISBLANK($C$36),"",$C$36)</f>
        <v>Option 3</v>
      </c>
      <c r="D52" s="86">
        <f>'Option 3'!F$125</f>
        <v>0</v>
      </c>
      <c r="E52" s="86">
        <f>'Option 3'!G$125</f>
        <v>0</v>
      </c>
      <c r="F52" s="86">
        <f>'Option 3'!H$125</f>
        <v>0</v>
      </c>
      <c r="G52" s="86">
        <f>'Option 3'!I$125</f>
        <v>0</v>
      </c>
      <c r="H52" s="86">
        <f>'Option 3'!J$125</f>
        <v>0</v>
      </c>
      <c r="I52" s="86">
        <f>'Option 3'!K$125</f>
        <v>0</v>
      </c>
      <c r="J52" s="86">
        <f>'Option 3'!L$125</f>
        <v>0</v>
      </c>
      <c r="K52" s="86">
        <f>'Option 3'!M$125</f>
        <v>0</v>
      </c>
      <c r="L52" s="86">
        <f>'Option 3'!N$125</f>
        <v>0</v>
      </c>
      <c r="M52" s="86">
        <f>'Option 3'!O$125</f>
        <v>0</v>
      </c>
      <c r="N52" s="86">
        <f>'Option 3'!P$125</f>
        <v>0</v>
      </c>
      <c r="O52" s="67"/>
    </row>
    <row r="53" spans="2:15" x14ac:dyDescent="0.35">
      <c r="B53" s="67"/>
      <c r="C53" s="77" t="s">
        <v>89</v>
      </c>
      <c r="D53" s="80"/>
      <c r="E53" s="80"/>
      <c r="F53" s="80"/>
      <c r="G53" s="80"/>
      <c r="H53" s="80"/>
      <c r="I53" s="80"/>
      <c r="J53" s="80"/>
      <c r="K53" s="80"/>
      <c r="L53" s="80"/>
      <c r="M53" s="80"/>
      <c r="N53" s="81"/>
      <c r="O53" s="67"/>
    </row>
    <row r="54" spans="2:15" x14ac:dyDescent="0.35">
      <c r="B54" s="67"/>
      <c r="C54" s="70" t="s">
        <v>90</v>
      </c>
      <c r="D54" s="71">
        <f t="shared" ref="D54:N54" si="8">D32</f>
        <v>2022</v>
      </c>
      <c r="E54" s="71">
        <f t="shared" si="8"/>
        <v>2023</v>
      </c>
      <c r="F54" s="71">
        <f t="shared" si="8"/>
        <v>2024</v>
      </c>
      <c r="G54" s="71">
        <f t="shared" si="8"/>
        <v>2025</v>
      </c>
      <c r="H54" s="71">
        <f t="shared" si="8"/>
        <v>2026</v>
      </c>
      <c r="I54" s="71">
        <f t="shared" si="8"/>
        <v>2027</v>
      </c>
      <c r="J54" s="71">
        <f t="shared" si="8"/>
        <v>2028</v>
      </c>
      <c r="K54" s="71">
        <f t="shared" si="8"/>
        <v>2029</v>
      </c>
      <c r="L54" s="71">
        <f t="shared" si="8"/>
        <v>2030</v>
      </c>
      <c r="M54" s="71">
        <f t="shared" si="8"/>
        <v>2031</v>
      </c>
      <c r="N54" s="71">
        <f t="shared" si="8"/>
        <v>2032</v>
      </c>
      <c r="O54" s="67"/>
    </row>
    <row r="55" spans="2:15" x14ac:dyDescent="0.35">
      <c r="B55" s="67"/>
      <c r="C55" s="72" t="str">
        <f>IF(ISBLANK($C$34),"",$C$34)</f>
        <v>Option 1</v>
      </c>
      <c r="D55" s="86">
        <f t="shared" ref="D55:N55" si="9">IF($C55="","",D46+D50 - D42-D34)</f>
        <v>-2</v>
      </c>
      <c r="E55" s="86">
        <f t="shared" si="9"/>
        <v>-6</v>
      </c>
      <c r="F55" s="86">
        <f t="shared" si="9"/>
        <v>0</v>
      </c>
      <c r="G55" s="86">
        <f t="shared" si="9"/>
        <v>2</v>
      </c>
      <c r="H55" s="86">
        <f t="shared" si="9"/>
        <v>1</v>
      </c>
      <c r="I55" s="86">
        <f t="shared" si="9"/>
        <v>1</v>
      </c>
      <c r="J55" s="86">
        <f t="shared" si="9"/>
        <v>1</v>
      </c>
      <c r="K55" s="86">
        <f t="shared" si="9"/>
        <v>1</v>
      </c>
      <c r="L55" s="86">
        <f t="shared" si="9"/>
        <v>1</v>
      </c>
      <c r="M55" s="86">
        <f t="shared" si="9"/>
        <v>1</v>
      </c>
      <c r="N55" s="86">
        <f t="shared" si="9"/>
        <v>1</v>
      </c>
      <c r="O55" s="67"/>
    </row>
    <row r="56" spans="2:15" x14ac:dyDescent="0.35">
      <c r="B56" s="67"/>
      <c r="C56" s="73" t="str">
        <f>IF(ISBLANK($C$35),"",$C$35)</f>
        <v>Option 2</v>
      </c>
      <c r="D56" s="86">
        <f t="shared" ref="D56:N56" si="10">IF($C56="","",D47+D51 - D43-D35)</f>
        <v>-2</v>
      </c>
      <c r="E56" s="86">
        <f t="shared" si="10"/>
        <v>-6</v>
      </c>
      <c r="F56" s="86">
        <f t="shared" si="10"/>
        <v>0.5</v>
      </c>
      <c r="G56" s="86">
        <f t="shared" si="10"/>
        <v>2.5</v>
      </c>
      <c r="H56" s="86">
        <f t="shared" si="10"/>
        <v>1.5</v>
      </c>
      <c r="I56" s="86">
        <f t="shared" si="10"/>
        <v>1.5</v>
      </c>
      <c r="J56" s="86">
        <f t="shared" si="10"/>
        <v>1.5</v>
      </c>
      <c r="K56" s="86">
        <f t="shared" si="10"/>
        <v>1.5</v>
      </c>
      <c r="L56" s="86">
        <f t="shared" si="10"/>
        <v>1.5</v>
      </c>
      <c r="M56" s="86">
        <f t="shared" si="10"/>
        <v>1.5</v>
      </c>
      <c r="N56" s="86">
        <f t="shared" si="10"/>
        <v>1.5</v>
      </c>
      <c r="O56" s="67"/>
    </row>
    <row r="57" spans="2:15" x14ac:dyDescent="0.35">
      <c r="B57" s="67"/>
      <c r="C57" s="73" t="str">
        <f>IF(ISBLANK($C$36),"",$C$36)</f>
        <v>Option 3</v>
      </c>
      <c r="D57" s="86">
        <f t="shared" ref="D57:N57" si="11">IF($C57="","",D48+D52 - D44-D36)</f>
        <v>0</v>
      </c>
      <c r="E57" s="86">
        <f t="shared" si="11"/>
        <v>0</v>
      </c>
      <c r="F57" s="86">
        <f t="shared" si="11"/>
        <v>0</v>
      </c>
      <c r="G57" s="86">
        <f t="shared" si="11"/>
        <v>0</v>
      </c>
      <c r="H57" s="86">
        <f t="shared" si="11"/>
        <v>0</v>
      </c>
      <c r="I57" s="86">
        <f t="shared" si="11"/>
        <v>0</v>
      </c>
      <c r="J57" s="86">
        <f t="shared" si="11"/>
        <v>0</v>
      </c>
      <c r="K57" s="86">
        <f t="shared" si="11"/>
        <v>0</v>
      </c>
      <c r="L57" s="86">
        <f t="shared" si="11"/>
        <v>0</v>
      </c>
      <c r="M57" s="86">
        <f t="shared" si="11"/>
        <v>0</v>
      </c>
      <c r="N57" s="86">
        <f t="shared" si="11"/>
        <v>0</v>
      </c>
      <c r="O57" s="67"/>
    </row>
    <row r="58" spans="2:15" x14ac:dyDescent="0.35">
      <c r="B58" s="67"/>
      <c r="C58" s="70" t="s">
        <v>91</v>
      </c>
      <c r="D58" s="71"/>
      <c r="E58" s="71"/>
      <c r="F58" s="71"/>
      <c r="G58" s="71"/>
      <c r="H58" s="71"/>
      <c r="I58" s="71"/>
      <c r="J58" s="71"/>
      <c r="K58" s="71"/>
      <c r="L58" s="71"/>
      <c r="M58" s="71"/>
      <c r="N58" s="71"/>
      <c r="O58" s="67"/>
    </row>
    <row r="59" spans="2:15" x14ac:dyDescent="0.35">
      <c r="B59" s="67"/>
      <c r="C59" s="72" t="str">
        <f>IF(ISBLANK($C$34),"",$C$34)</f>
        <v>Option 1</v>
      </c>
      <c r="D59" s="86">
        <f t="shared" ref="D59:N59" si="12">IF($C59="","",D46+D50 - D42-D38)</f>
        <v>-2</v>
      </c>
      <c r="E59" s="86">
        <f t="shared" si="12"/>
        <v>-3</v>
      </c>
      <c r="F59" s="86">
        <f t="shared" si="12"/>
        <v>-1</v>
      </c>
      <c r="G59" s="86">
        <f t="shared" si="12"/>
        <v>1</v>
      </c>
      <c r="H59" s="86">
        <f t="shared" si="12"/>
        <v>0</v>
      </c>
      <c r="I59" s="86">
        <f t="shared" si="12"/>
        <v>1</v>
      </c>
      <c r="J59" s="86">
        <f t="shared" si="12"/>
        <v>1</v>
      </c>
      <c r="K59" s="86">
        <f t="shared" si="12"/>
        <v>1</v>
      </c>
      <c r="L59" s="86">
        <f t="shared" si="12"/>
        <v>1</v>
      </c>
      <c r="M59" s="86">
        <f t="shared" si="12"/>
        <v>1</v>
      </c>
      <c r="N59" s="86">
        <f t="shared" si="12"/>
        <v>1</v>
      </c>
      <c r="O59" s="67"/>
    </row>
    <row r="60" spans="2:15" x14ac:dyDescent="0.35">
      <c r="B60" s="67"/>
      <c r="C60" s="73" t="str">
        <f>IF(ISBLANK($C$35),"",$C$35)</f>
        <v>Option 2</v>
      </c>
      <c r="D60" s="86">
        <f t="shared" ref="D60:N60" si="13">IF($C60="","",D47+D51 - D43-D39)</f>
        <v>-2</v>
      </c>
      <c r="E60" s="86">
        <f t="shared" si="13"/>
        <v>-3</v>
      </c>
      <c r="F60" s="86">
        <f t="shared" si="13"/>
        <v>-0.5</v>
      </c>
      <c r="G60" s="86">
        <f t="shared" si="13"/>
        <v>1.5</v>
      </c>
      <c r="H60" s="86">
        <f t="shared" si="13"/>
        <v>0.5</v>
      </c>
      <c r="I60" s="86">
        <f t="shared" si="13"/>
        <v>1.5</v>
      </c>
      <c r="J60" s="86">
        <f t="shared" si="13"/>
        <v>1.5</v>
      </c>
      <c r="K60" s="86">
        <f t="shared" si="13"/>
        <v>1.5</v>
      </c>
      <c r="L60" s="86">
        <f t="shared" si="13"/>
        <v>1.5</v>
      </c>
      <c r="M60" s="86">
        <f t="shared" si="13"/>
        <v>1.5</v>
      </c>
      <c r="N60" s="86">
        <f t="shared" si="13"/>
        <v>1.5</v>
      </c>
      <c r="O60" s="67"/>
    </row>
    <row r="61" spans="2:15" x14ac:dyDescent="0.35">
      <c r="B61" s="67"/>
      <c r="C61" s="73" t="str">
        <f>IF(ISBLANK($C$36),"",$C$36)</f>
        <v>Option 3</v>
      </c>
      <c r="D61" s="86">
        <f t="shared" ref="D61:N61" si="14">IF($C61="","",D48+D52 - D44-D40)</f>
        <v>0</v>
      </c>
      <c r="E61" s="86">
        <f t="shared" si="14"/>
        <v>0</v>
      </c>
      <c r="F61" s="86">
        <f t="shared" si="14"/>
        <v>0</v>
      </c>
      <c r="G61" s="86">
        <f t="shared" si="14"/>
        <v>0</v>
      </c>
      <c r="H61" s="86">
        <f t="shared" si="14"/>
        <v>0</v>
      </c>
      <c r="I61" s="86">
        <f t="shared" si="14"/>
        <v>0</v>
      </c>
      <c r="J61" s="86">
        <f t="shared" si="14"/>
        <v>0</v>
      </c>
      <c r="K61" s="86">
        <f t="shared" si="14"/>
        <v>0</v>
      </c>
      <c r="L61" s="86">
        <f t="shared" si="14"/>
        <v>0</v>
      </c>
      <c r="M61" s="86">
        <f t="shared" si="14"/>
        <v>0</v>
      </c>
      <c r="N61" s="86">
        <f t="shared" si="14"/>
        <v>0</v>
      </c>
      <c r="O61" s="67"/>
    </row>
    <row r="62" spans="2:15" x14ac:dyDescent="0.35">
      <c r="B62" s="67"/>
      <c r="C62" s="67"/>
      <c r="D62" s="67"/>
      <c r="E62" s="67"/>
      <c r="F62" s="67"/>
      <c r="G62" s="67"/>
      <c r="H62" s="67"/>
      <c r="I62" s="67"/>
      <c r="J62" s="67"/>
      <c r="K62" s="67"/>
      <c r="L62" s="67"/>
      <c r="M62" s="67"/>
      <c r="N62" s="67"/>
      <c r="O62" s="67"/>
    </row>
  </sheetData>
  <sheetProtection algorithmName="SHA-512" hashValue="9Gm8HhJ3SqnLuJaOUzusApX2ykbiMmpbfN/CeAAbyqVwLnLZtXjwfOe6HV/qkuy+ecC/lTqgYJayuunhQ7IXjQ==" saltValue="Y9BQraQjdsvSI1yapBcJzw==" spinCount="100000" sheet="1" objects="1" scenarios="1" selectLockedCells="1"/>
  <mergeCells count="1">
    <mergeCell ref="C3:N3"/>
  </mergeCells>
  <conditionalFormatting sqref="D7:N9 D11:N13">
    <cfRule type="cellIs" dxfId="2" priority="1" operator="lessThan">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12F66-2E42-45A3-AD3E-FA62CE544BEF}">
  <dimension ref="B2:N61"/>
  <sheetViews>
    <sheetView showGridLines="0" zoomScaleNormal="100" workbookViewId="0">
      <selection activeCell="D6" sqref="D6"/>
    </sheetView>
  </sheetViews>
  <sheetFormatPr defaultRowHeight="14.5" x14ac:dyDescent="0.35"/>
  <cols>
    <col min="1" max="1" width="3.08984375" customWidth="1"/>
    <col min="2" max="2" width="3.1796875" customWidth="1"/>
    <col min="3" max="3" width="36.7265625" customWidth="1"/>
    <col min="4" max="6" width="15.6328125" customWidth="1"/>
    <col min="7" max="7" width="3.1796875" customWidth="1"/>
    <col min="13" max="13" width="1.54296875" customWidth="1"/>
  </cols>
  <sheetData>
    <row r="2" spans="2:14" ht="33.5" x14ac:dyDescent="0.35">
      <c r="B2" s="5" t="s">
        <v>94</v>
      </c>
    </row>
    <row r="3" spans="2:14" ht="50" customHeight="1" x14ac:dyDescent="0.35">
      <c r="B3" s="122" t="s">
        <v>95</v>
      </c>
      <c r="C3" s="122"/>
      <c r="D3" s="122"/>
      <c r="E3" s="122"/>
      <c r="F3" s="122"/>
      <c r="G3" s="122"/>
      <c r="H3" s="122"/>
      <c r="I3" s="122"/>
      <c r="J3" s="122"/>
      <c r="K3" s="122"/>
      <c r="L3" s="122"/>
      <c r="M3" s="41"/>
      <c r="N3" s="41"/>
    </row>
    <row r="4" spans="2:14" ht="15" thickBot="1" x14ac:dyDescent="0.4"/>
    <row r="5" spans="2:14" x14ac:dyDescent="0.35">
      <c r="B5" s="19" t="s">
        <v>96</v>
      </c>
      <c r="C5" s="20"/>
      <c r="D5" s="20"/>
      <c r="E5" s="20"/>
      <c r="F5" s="20"/>
      <c r="G5" s="21"/>
    </row>
    <row r="6" spans="2:14" x14ac:dyDescent="0.35">
      <c r="B6" s="12"/>
      <c r="C6" s="8" t="s">
        <v>66</v>
      </c>
      <c r="D6" s="48">
        <v>0</v>
      </c>
      <c r="E6" s="8"/>
      <c r="F6" s="8"/>
      <c r="G6" s="13"/>
    </row>
    <row r="7" spans="2:14" x14ac:dyDescent="0.35">
      <c r="B7" s="12"/>
      <c r="C7" s="8"/>
      <c r="D7" s="8" t="str">
        <f>IF('Option 1'!$A$1,Summary!$C$34, "-")</f>
        <v>Option 1</v>
      </c>
      <c r="E7" s="8" t="str">
        <f>IF('Option 2'!$A$1,Summary!$C$35,"-")</f>
        <v>Option 2</v>
      </c>
      <c r="F7" s="8" t="str">
        <f>IF('Option 3'!$A$1,Summary!$C$36,"-")</f>
        <v>-</v>
      </c>
      <c r="G7" s="13"/>
    </row>
    <row r="8" spans="2:14" x14ac:dyDescent="0.35">
      <c r="B8" s="14"/>
      <c r="C8" s="8" t="s">
        <v>97</v>
      </c>
      <c r="D8" s="47">
        <f xml:space="preserve"> IF('Option 1'!$A$6,  'Option 1'!$E$22, "-")</f>
        <v>8</v>
      </c>
      <c r="E8" s="47">
        <f xml:space="preserve"> IF('Option 2'!$A$6,  'Option 2'!$E$22, "-")</f>
        <v>8</v>
      </c>
      <c r="F8" s="47" t="str">
        <f xml:space="preserve"> IF('Option 3'!$A$6,  'Option 3'!$E$22, "-")</f>
        <v>-</v>
      </c>
      <c r="G8" s="13"/>
    </row>
    <row r="9" spans="2:14" x14ac:dyDescent="0.35">
      <c r="B9" s="14"/>
      <c r="C9" s="8" t="s">
        <v>98</v>
      </c>
      <c r="D9" s="118">
        <f xml:space="preserve"> IF('Option 1'!$A$6,  COUNTIF('Option 1'!$F$104:$P$104,"&gt;0"), "-")</f>
        <v>9</v>
      </c>
      <c r="E9" s="118">
        <f xml:space="preserve"> IF('Option 2'!$A$6,  COUNTIF('Option 2'!$F$104:$P$104,"&gt;0"), "-")</f>
        <v>9</v>
      </c>
      <c r="F9" s="118" t="str">
        <f xml:space="preserve"> IF('Option 3'!$A$6,  COUNTIF('Option 3'!$F$104:$P$104,"&gt;0"), "-")</f>
        <v>-</v>
      </c>
      <c r="G9" s="13"/>
    </row>
    <row r="10" spans="2:14" x14ac:dyDescent="0.35">
      <c r="B10" s="14"/>
      <c r="C10" s="8"/>
      <c r="D10" s="8"/>
      <c r="E10" s="8"/>
      <c r="F10" s="8"/>
      <c r="G10" s="13"/>
    </row>
    <row r="11" spans="2:14" x14ac:dyDescent="0.35">
      <c r="B11" s="14"/>
      <c r="C11" s="8" t="s">
        <v>99</v>
      </c>
      <c r="D11" s="47">
        <f>IF('Option 1'!$A$49,  AVERAGE('Option 1'!$F$67:$P$67), "-")</f>
        <v>3.2727272727272729</v>
      </c>
      <c r="E11" s="47">
        <f>IF('Option 2'!$A$49,  AVERAGE('Option 2'!$F$67:$P$67), "-")</f>
        <v>2.8636363636363638</v>
      </c>
      <c r="F11" s="47" t="str">
        <f>IF('Option 3'!$A$49,  AVERAGE('Option 3'!$F$67:$P$67), "-")</f>
        <v>-</v>
      </c>
      <c r="G11" s="13"/>
    </row>
    <row r="12" spans="2:14" x14ac:dyDescent="0.35">
      <c r="B12" s="14"/>
      <c r="C12" s="8" t="s">
        <v>100</v>
      </c>
      <c r="D12" s="47">
        <f>IF('Option 1'!$A$74, AVERAGE('Option 1'!$F$128:$P$128), "-")</f>
        <v>4.0909090909090908</v>
      </c>
      <c r="E12" s="47">
        <f>IF('Option 2'!$A$74, AVERAGE('Option 2'!$F$128:$P$128), "-")</f>
        <v>4.0909090909090908</v>
      </c>
      <c r="F12" s="47" t="str">
        <f>IF('Option 3'!$A$74, AVERAGE('Option 3'!$F$128:$P$128), "-")</f>
        <v>-</v>
      </c>
      <c r="G12" s="13"/>
    </row>
    <row r="13" spans="2:14" x14ac:dyDescent="0.35">
      <c r="B13" s="14"/>
      <c r="C13" s="8" t="s">
        <v>71</v>
      </c>
      <c r="D13" s="47">
        <f>IF('Option 1'!$A$6, 'Option 1'!$E$25, "-")</f>
        <v>0</v>
      </c>
      <c r="E13" s="47">
        <f>IF('Option 2'!$A$6, 'Option 2'!$E$25, "-")</f>
        <v>0</v>
      </c>
      <c r="F13" s="47" t="str">
        <f>IF('Option 3'!$A$6, 'Option 3'!$E$25, "-")</f>
        <v>-</v>
      </c>
      <c r="G13" s="13"/>
    </row>
    <row r="14" spans="2:14" ht="15" thickBot="1" x14ac:dyDescent="0.4">
      <c r="B14" s="16"/>
      <c r="C14" s="17"/>
      <c r="D14" s="17"/>
      <c r="E14" s="17"/>
      <c r="F14" s="17"/>
      <c r="G14" s="18"/>
    </row>
    <row r="15" spans="2:14" ht="15" thickBot="1" x14ac:dyDescent="0.4"/>
    <row r="16" spans="2:14" x14ac:dyDescent="0.35">
      <c r="B16" s="37" t="s">
        <v>101</v>
      </c>
      <c r="C16" s="10"/>
      <c r="D16" s="10"/>
      <c r="E16" s="10"/>
      <c r="F16" s="10"/>
      <c r="G16" s="11"/>
      <c r="H16" s="11"/>
      <c r="I16" s="11"/>
      <c r="J16" s="11"/>
      <c r="K16" s="11"/>
      <c r="L16" s="11"/>
      <c r="M16" s="11"/>
    </row>
    <row r="17" spans="2:13" x14ac:dyDescent="0.35">
      <c r="B17" s="12" t="s">
        <v>102</v>
      </c>
      <c r="C17" s="8"/>
      <c r="D17" s="8"/>
      <c r="E17" s="8"/>
      <c r="F17" s="8"/>
      <c r="G17" s="8"/>
      <c r="H17" s="8"/>
      <c r="I17" s="8"/>
      <c r="J17" s="8"/>
      <c r="K17" s="8"/>
      <c r="L17" s="8"/>
      <c r="M17" s="13"/>
    </row>
    <row r="18" spans="2:13" x14ac:dyDescent="0.35">
      <c r="B18" s="14"/>
      <c r="C18" s="35" t="str">
        <f>C6</f>
        <v>Calculation interest rate</v>
      </c>
      <c r="D18" s="51">
        <f>IFERROR(D6+$H$18,"-")</f>
        <v>0</v>
      </c>
      <c r="E18" s="56"/>
      <c r="F18" s="56"/>
      <c r="G18" s="8"/>
      <c r="H18" s="51">
        <f>(I18-30)/100</f>
        <v>0</v>
      </c>
      <c r="I18" s="4">
        <v>30</v>
      </c>
      <c r="J18" s="4"/>
      <c r="K18" s="4"/>
      <c r="L18" s="4"/>
      <c r="M18" s="13"/>
    </row>
    <row r="19" spans="2:13" x14ac:dyDescent="0.35">
      <c r="B19" s="14"/>
      <c r="C19" s="35"/>
      <c r="D19" s="8" t="str">
        <f>D7</f>
        <v>Option 1</v>
      </c>
      <c r="E19" s="8" t="str">
        <f t="shared" ref="E19:F19" si="0">E7</f>
        <v>Option 2</v>
      </c>
      <c r="F19" s="8" t="str">
        <f t="shared" si="0"/>
        <v>-</v>
      </c>
      <c r="G19" s="8"/>
      <c r="H19" s="8"/>
      <c r="I19" s="8"/>
      <c r="J19" s="8"/>
      <c r="K19" s="8"/>
      <c r="L19" s="8"/>
      <c r="M19" s="13"/>
    </row>
    <row r="20" spans="2:13" x14ac:dyDescent="0.35">
      <c r="B20" s="14"/>
      <c r="C20" s="35" t="str">
        <f>C8</f>
        <v>Investment</v>
      </c>
      <c r="D20" s="49">
        <f>IFERROR(D8+ (D8*$H20),"-")</f>
        <v>8</v>
      </c>
      <c r="E20" s="49">
        <f>IFERROR(E8+ (E8*$H20),"-")</f>
        <v>8</v>
      </c>
      <c r="F20" s="49" t="str">
        <f>IFERROR(F8+ (F8*$H20),"-")</f>
        <v>-</v>
      </c>
      <c r="G20" s="8"/>
      <c r="H20" s="51">
        <f>(I20-100)/100</f>
        <v>0</v>
      </c>
      <c r="I20" s="4">
        <v>100</v>
      </c>
      <c r="J20" s="4"/>
      <c r="K20" s="4"/>
      <c r="L20" s="4"/>
      <c r="M20" s="13"/>
    </row>
    <row r="21" spans="2:13" x14ac:dyDescent="0.35">
      <c r="B21" s="14"/>
      <c r="C21" s="35" t="str">
        <f>C9</f>
        <v>Investment holding period</v>
      </c>
      <c r="D21" s="119">
        <f>IFERROR(D9+ $H21,"-")</f>
        <v>9</v>
      </c>
      <c r="E21" s="119">
        <f>IFERROR(E9+ $H21,"-")</f>
        <v>9</v>
      </c>
      <c r="F21" s="119" t="str">
        <f>IFERROR(F9+ $H21,"-")</f>
        <v>-</v>
      </c>
      <c r="G21" s="8"/>
      <c r="H21" s="50">
        <f>MAX(I21-100, -MIN(D9:F9) )</f>
        <v>0</v>
      </c>
      <c r="I21" s="4">
        <v>100</v>
      </c>
      <c r="J21" s="4"/>
      <c r="K21" s="4"/>
      <c r="L21" s="4"/>
      <c r="M21" s="13"/>
    </row>
    <row r="22" spans="2:13" x14ac:dyDescent="0.35">
      <c r="B22" s="14"/>
      <c r="C22" s="35"/>
      <c r="D22" s="8"/>
      <c r="E22" s="8"/>
      <c r="F22" s="8"/>
      <c r="G22" s="8"/>
      <c r="H22" s="8"/>
      <c r="I22" s="53"/>
      <c r="J22" s="53"/>
      <c r="K22" s="53"/>
      <c r="L22" s="53"/>
      <c r="M22" s="13"/>
    </row>
    <row r="23" spans="2:13" x14ac:dyDescent="0.35">
      <c r="B23" s="14"/>
      <c r="C23" s="35" t="str">
        <f>C11</f>
        <v>Annual operating cost (avg.)</v>
      </c>
      <c r="D23" s="49">
        <f t="shared" ref="D23:F25" si="1">IFERROR(D11+ (D11*$H23),"-")</f>
        <v>3.2727272727272729</v>
      </c>
      <c r="E23" s="49">
        <f t="shared" si="1"/>
        <v>2.8636363636363638</v>
      </c>
      <c r="F23" s="49" t="str">
        <f t="shared" si="1"/>
        <v>-</v>
      </c>
      <c r="G23" s="8"/>
      <c r="H23" s="51">
        <f>(I23-100)/100</f>
        <v>0</v>
      </c>
      <c r="I23" s="4">
        <v>100</v>
      </c>
      <c r="J23" s="4"/>
      <c r="K23" s="4"/>
      <c r="L23" s="4"/>
      <c r="M23" s="13"/>
    </row>
    <row r="24" spans="2:13" x14ac:dyDescent="0.35">
      <c r="B24" s="14"/>
      <c r="C24" s="35" t="str">
        <f>C12</f>
        <v>Annual monetary benefits (avg.)</v>
      </c>
      <c r="D24" s="49">
        <f t="shared" si="1"/>
        <v>4.0909090909090908</v>
      </c>
      <c r="E24" s="49">
        <f t="shared" si="1"/>
        <v>4.0909090909090908</v>
      </c>
      <c r="F24" s="49" t="str">
        <f t="shared" si="1"/>
        <v>-</v>
      </c>
      <c r="G24" s="8"/>
      <c r="H24" s="51">
        <f>(I24-100)/100</f>
        <v>0</v>
      </c>
      <c r="I24" s="4">
        <v>100</v>
      </c>
      <c r="J24" s="4"/>
      <c r="K24" s="4"/>
      <c r="L24" s="4"/>
      <c r="M24" s="13"/>
    </row>
    <row r="25" spans="2:13" x14ac:dyDescent="0.35">
      <c r="B25" s="14"/>
      <c r="C25" s="35" t="str">
        <f>C13</f>
        <v>Residual value</v>
      </c>
      <c r="D25" s="49">
        <f t="shared" si="1"/>
        <v>0</v>
      </c>
      <c r="E25" s="49">
        <f t="shared" si="1"/>
        <v>0</v>
      </c>
      <c r="F25" s="49" t="str">
        <f t="shared" si="1"/>
        <v>-</v>
      </c>
      <c r="G25" s="8"/>
      <c r="H25" s="126">
        <f>(I25-100)/100</f>
        <v>0</v>
      </c>
      <c r="I25" s="4">
        <v>100</v>
      </c>
      <c r="J25" s="42"/>
      <c r="K25" s="42"/>
      <c r="L25" s="42"/>
      <c r="M25" s="13"/>
    </row>
    <row r="26" spans="2:13" ht="15" thickBot="1" x14ac:dyDescent="0.4">
      <c r="B26" s="16"/>
      <c r="C26" s="17"/>
      <c r="D26" s="17"/>
      <c r="E26" s="17"/>
      <c r="F26" s="17"/>
      <c r="G26" s="17"/>
      <c r="H26" s="17"/>
      <c r="I26" s="17"/>
      <c r="J26" s="17"/>
      <c r="K26" s="17"/>
      <c r="L26" s="17"/>
      <c r="M26" s="18"/>
    </row>
    <row r="27" spans="2:13" ht="15" thickBot="1" x14ac:dyDescent="0.4"/>
    <row r="28" spans="2:13" x14ac:dyDescent="0.35">
      <c r="B28" s="19" t="s">
        <v>103</v>
      </c>
      <c r="C28" s="20"/>
      <c r="D28" s="20"/>
      <c r="E28" s="20"/>
      <c r="F28" s="20"/>
      <c r="G28" s="21"/>
    </row>
    <row r="29" spans="2:13" x14ac:dyDescent="0.35">
      <c r="B29" s="12"/>
      <c r="C29" s="8"/>
      <c r="D29" s="8" t="str">
        <f>D7</f>
        <v>Option 1</v>
      </c>
      <c r="E29" s="8" t="str">
        <f t="shared" ref="E29:F29" si="2">E7</f>
        <v>Option 2</v>
      </c>
      <c r="F29" s="8" t="str">
        <f t="shared" si="2"/>
        <v>-</v>
      </c>
      <c r="G29" s="13"/>
    </row>
    <row r="30" spans="2:13" x14ac:dyDescent="0.35">
      <c r="B30" s="14"/>
      <c r="C30" s="8" t="s">
        <v>104</v>
      </c>
      <c r="D30" s="49">
        <f>IFERROR( ABS( PV($D$18,D21,(D24-D23)) + D25/(1+$D$18)^(D21+1)),"-" )</f>
        <v>7.3636363636363615</v>
      </c>
      <c r="E30" s="49">
        <f t="shared" ref="E30:F30" si="3">IFERROR( ABS( PV($D$18,E21,(E24-E23)) + E25/(1+$D$18)^(E21+1)),"-" )</f>
        <v>11.045454545454543</v>
      </c>
      <c r="F30" s="49" t="str">
        <f t="shared" si="3"/>
        <v>-</v>
      </c>
      <c r="G30" s="13"/>
    </row>
    <row r="31" spans="2:13" ht="15" thickBot="1" x14ac:dyDescent="0.4">
      <c r="B31" s="14"/>
      <c r="C31" s="8"/>
      <c r="D31" s="8"/>
      <c r="E31" s="8"/>
      <c r="F31" s="8"/>
      <c r="G31" s="13"/>
    </row>
    <row r="32" spans="2:13" ht="15" thickBot="1" x14ac:dyDescent="0.4">
      <c r="B32" s="14"/>
      <c r="C32" s="15" t="s">
        <v>105</v>
      </c>
      <c r="D32" s="52">
        <f>IFERROR(D30 - ABS(D20),"-")</f>
        <v>-0.63636363636363846</v>
      </c>
      <c r="E32" s="52">
        <f t="shared" ref="E32:F32" si="4">IFERROR(E30 - ABS(E20),"-")</f>
        <v>3.0454545454545432</v>
      </c>
      <c r="F32" s="52" t="str">
        <f t="shared" si="4"/>
        <v>-</v>
      </c>
      <c r="G32" s="13"/>
    </row>
    <row r="33" spans="2:7" ht="15" thickBot="1" x14ac:dyDescent="0.4">
      <c r="B33" s="16"/>
      <c r="C33" s="17"/>
      <c r="D33" s="17"/>
      <c r="E33" s="17"/>
      <c r="F33" s="17"/>
      <c r="G33" s="18"/>
    </row>
    <row r="34" spans="2:7" ht="15" thickBot="1" x14ac:dyDescent="0.4"/>
    <row r="35" spans="2:7" x14ac:dyDescent="0.35">
      <c r="B35" s="19" t="s">
        <v>107</v>
      </c>
      <c r="C35" s="20"/>
      <c r="D35" s="20"/>
      <c r="E35" s="20"/>
      <c r="F35" s="20"/>
      <c r="G35" s="21"/>
    </row>
    <row r="36" spans="2:7" x14ac:dyDescent="0.35">
      <c r="B36" s="12"/>
      <c r="C36" s="8"/>
      <c r="D36" s="8" t="str">
        <f>D7</f>
        <v>Option 1</v>
      </c>
      <c r="E36" s="8" t="str">
        <f t="shared" ref="E36:F36" si="5">E7</f>
        <v>Option 2</v>
      </c>
      <c r="F36" s="8" t="str">
        <f t="shared" si="5"/>
        <v>-</v>
      </c>
      <c r="G36" s="13"/>
    </row>
    <row r="37" spans="2:7" x14ac:dyDescent="0.35">
      <c r="B37" s="14"/>
      <c r="C37" s="8" t="s">
        <v>108</v>
      </c>
      <c r="D37" s="49">
        <f>IFERROR(ABS( PMT($D$18,D21,D20,D25)),"-")</f>
        <v>0.88888888888888884</v>
      </c>
      <c r="E37" s="49">
        <f t="shared" ref="E37:F37" si="6">IFERROR(ABS( PMT($D$18,E21,E20,E25)),"-")</f>
        <v>0.88888888888888884</v>
      </c>
      <c r="F37" s="49" t="str">
        <f t="shared" si="6"/>
        <v>-</v>
      </c>
      <c r="G37" s="13"/>
    </row>
    <row r="38" spans="2:7" x14ac:dyDescent="0.35">
      <c r="B38" s="14"/>
      <c r="C38" s="8" t="s">
        <v>109</v>
      </c>
      <c r="D38" s="49">
        <f>IFERROR(D24-D23,"-")</f>
        <v>0.8181818181818179</v>
      </c>
      <c r="E38" s="49">
        <f t="shared" ref="E38:F38" si="7">IFERROR(E24-E23,"-")</f>
        <v>1.2272727272727271</v>
      </c>
      <c r="F38" s="49" t="str">
        <f t="shared" si="7"/>
        <v>-</v>
      </c>
      <c r="G38" s="13"/>
    </row>
    <row r="39" spans="2:7" ht="15" thickBot="1" x14ac:dyDescent="0.4">
      <c r="B39" s="14"/>
      <c r="C39" s="8"/>
      <c r="D39" s="8"/>
      <c r="E39" s="8"/>
      <c r="F39" s="8"/>
      <c r="G39" s="13"/>
    </row>
    <row r="40" spans="2:7" ht="15" thickBot="1" x14ac:dyDescent="0.4">
      <c r="B40" s="14"/>
      <c r="C40" s="15" t="s">
        <v>106</v>
      </c>
      <c r="D40" s="52">
        <f>IFERROR(D38-D37,"-")</f>
        <v>-7.070707070707094E-2</v>
      </c>
      <c r="E40" s="52">
        <f t="shared" ref="E40:F40" si="8">IFERROR(E38-E37,"-")</f>
        <v>0.33838383838383823</v>
      </c>
      <c r="F40" s="52" t="str">
        <f t="shared" si="8"/>
        <v>-</v>
      </c>
      <c r="G40" s="13"/>
    </row>
    <row r="41" spans="2:7" ht="15" thickBot="1" x14ac:dyDescent="0.4">
      <c r="B41" s="16"/>
      <c r="C41" s="17"/>
      <c r="D41" s="17"/>
      <c r="E41" s="17"/>
      <c r="F41" s="17"/>
      <c r="G41" s="18"/>
    </row>
    <row r="42" spans="2:7" ht="15" thickBot="1" x14ac:dyDescent="0.4"/>
    <row r="43" spans="2:7" x14ac:dyDescent="0.35">
      <c r="B43" s="19" t="s">
        <v>111</v>
      </c>
      <c r="C43" s="20"/>
      <c r="D43" s="20"/>
      <c r="E43" s="20"/>
      <c r="F43" s="20"/>
      <c r="G43" s="21"/>
    </row>
    <row r="44" spans="2:7" x14ac:dyDescent="0.35">
      <c r="B44" s="12"/>
      <c r="C44" s="8"/>
      <c r="D44" s="8" t="str">
        <f>D7</f>
        <v>Option 1</v>
      </c>
      <c r="E44" s="8" t="str">
        <f t="shared" ref="E44:F44" si="9">E7</f>
        <v>Option 2</v>
      </c>
      <c r="F44" s="8" t="str">
        <f t="shared" si="9"/>
        <v>-</v>
      </c>
      <c r="G44" s="13"/>
    </row>
    <row r="45" spans="2:7" x14ac:dyDescent="0.35">
      <c r="B45" s="14"/>
      <c r="C45" s="8" t="s">
        <v>225</v>
      </c>
      <c r="D45" s="119">
        <f>IFERROR( NPER($D$18,D24-D23,-D20), "-")</f>
        <v>9.7777777777777803</v>
      </c>
      <c r="E45" s="119">
        <f t="shared" ref="E45:F45" si="10">IFERROR( NPER($D$18,E24-E23,-E20), "-")</f>
        <v>6.5185185185185199</v>
      </c>
      <c r="F45" s="119" t="str">
        <f t="shared" si="10"/>
        <v>-</v>
      </c>
      <c r="G45" s="13"/>
    </row>
    <row r="46" spans="2:7" x14ac:dyDescent="0.35">
      <c r="B46" s="14"/>
      <c r="C46" s="8" t="s">
        <v>62</v>
      </c>
      <c r="D46" s="59">
        <f>IFERROR(IRR('Option 1'!$F$147:$P$147),"-")</f>
        <v>2.2480226257705516E-2</v>
      </c>
      <c r="E46" s="59">
        <f>IFERROR(IRR('Option 2'!$F$147:$P$147),"-")</f>
        <v>0.10989391092149359</v>
      </c>
      <c r="F46" s="59" t="str">
        <f>IFERROR(IRR('Option 3'!$F$147:$P$147),"-")</f>
        <v>-</v>
      </c>
      <c r="G46" s="13"/>
    </row>
    <row r="47" spans="2:7" x14ac:dyDescent="0.35">
      <c r="B47" s="14"/>
      <c r="C47" s="8" t="s">
        <v>110</v>
      </c>
      <c r="D47" s="59">
        <f>IFERROR( AVERAGE('Option 1'!$F$134:$P$134) / D8, "-")</f>
        <v>0.10227272727272728</v>
      </c>
      <c r="E47" s="59">
        <f>IFERROR( AVERAGE('Option 2'!$F$134:$P$134) / E8, "-")</f>
        <v>0.15340909090909091</v>
      </c>
      <c r="F47" s="59" t="str">
        <f>IFERROR( AVERAGE('Option 3'!$F$134:$P$134) / F8, "-")</f>
        <v>-</v>
      </c>
      <c r="G47" s="13"/>
    </row>
    <row r="48" spans="2:7" ht="15" thickBot="1" x14ac:dyDescent="0.4">
      <c r="B48" s="16"/>
      <c r="C48" s="17"/>
      <c r="D48" s="17"/>
      <c r="E48" s="17"/>
      <c r="F48" s="17"/>
      <c r="G48" s="18"/>
    </row>
    <row r="50" spans="2:7" x14ac:dyDescent="0.35">
      <c r="B50" s="60"/>
      <c r="C50" s="62" t="s">
        <v>7</v>
      </c>
      <c r="D50" s="63">
        <f>MAX($D$32:$F$33)</f>
        <v>3.0454545454545432</v>
      </c>
      <c r="E50" s="63">
        <f>MAX($D$32:$F$33)</f>
        <v>3.0454545454545432</v>
      </c>
      <c r="F50" s="63">
        <f>MAX($D$32:$F$33)</f>
        <v>3.0454545454545432</v>
      </c>
      <c r="G50" s="60"/>
    </row>
    <row r="51" spans="2:7" x14ac:dyDescent="0.35">
      <c r="B51" s="60"/>
      <c r="C51" s="62" t="s">
        <v>6</v>
      </c>
      <c r="D51" s="63">
        <f>MAX($D$40:$F$40)</f>
        <v>0.33838383838383823</v>
      </c>
      <c r="E51" s="63">
        <f>MAX($D$40:$F$40)</f>
        <v>0.33838383838383823</v>
      </c>
      <c r="F51" s="63">
        <f>MAX($D$40:$F$40)</f>
        <v>0.33838383838383823</v>
      </c>
      <c r="G51" s="60"/>
    </row>
    <row r="52" spans="2:7" x14ac:dyDescent="0.35">
      <c r="B52" s="60"/>
      <c r="C52" s="62" t="s">
        <v>3</v>
      </c>
      <c r="D52" s="64">
        <f>MIN($D$45:$F$45)</f>
        <v>6.5185185185185199</v>
      </c>
      <c r="E52" s="64">
        <f>MIN($D$45:$F$45)</f>
        <v>6.5185185185185199</v>
      </c>
      <c r="F52" s="64">
        <f>MIN($D$45:$F$45)</f>
        <v>6.5185185185185199</v>
      </c>
      <c r="G52" s="60"/>
    </row>
    <row r="53" spans="2:7" x14ac:dyDescent="0.35">
      <c r="B53" s="60"/>
      <c r="C53" s="62" t="s">
        <v>4</v>
      </c>
      <c r="D53" s="64">
        <f>MAX($D$46:$F$46)</f>
        <v>0.10989391092149359</v>
      </c>
      <c r="E53" s="64">
        <f>MAX($D$46:$F$46)</f>
        <v>0.10989391092149359</v>
      </c>
      <c r="F53" s="64">
        <f>MAX($D$46:$F$46)</f>
        <v>0.10989391092149359</v>
      </c>
      <c r="G53" s="60"/>
    </row>
    <row r="54" spans="2:7" x14ac:dyDescent="0.35">
      <c r="B54" s="60"/>
      <c r="C54" s="62" t="s">
        <v>5</v>
      </c>
      <c r="D54" s="64">
        <f>MAX($D$47:$F$47)</f>
        <v>0.15340909090909091</v>
      </c>
      <c r="E54" s="64">
        <f>MAX($D$47:$F$47)</f>
        <v>0.15340909090909091</v>
      </c>
      <c r="F54" s="64">
        <f>MAX($D$47:$F$47)</f>
        <v>0.15340909090909091</v>
      </c>
      <c r="G54" s="60"/>
    </row>
    <row r="55" spans="2:7" x14ac:dyDescent="0.35">
      <c r="B55" s="60"/>
      <c r="C55" s="61"/>
      <c r="D55" s="61"/>
      <c r="E55" s="61"/>
      <c r="F55" s="61"/>
      <c r="G55" s="60"/>
    </row>
    <row r="56" spans="2:7" x14ac:dyDescent="0.35">
      <c r="B56" s="60"/>
      <c r="C56" s="61"/>
      <c r="D56" s="61"/>
      <c r="E56" s="61"/>
      <c r="F56" s="61"/>
      <c r="G56" s="60"/>
    </row>
    <row r="57" spans="2:7" x14ac:dyDescent="0.35">
      <c r="B57" s="60"/>
      <c r="C57" s="61"/>
      <c r="D57" s="61"/>
      <c r="E57" s="61"/>
      <c r="F57" s="61"/>
      <c r="G57" s="60"/>
    </row>
    <row r="58" spans="2:7" x14ac:dyDescent="0.35">
      <c r="B58" s="60"/>
      <c r="C58" s="61"/>
      <c r="D58" s="61"/>
      <c r="E58" s="61"/>
      <c r="F58" s="61"/>
      <c r="G58" s="60"/>
    </row>
    <row r="59" spans="2:7" x14ac:dyDescent="0.35">
      <c r="B59" s="60"/>
      <c r="C59" s="60"/>
      <c r="D59" s="60"/>
      <c r="E59" s="60"/>
      <c r="F59" s="60"/>
      <c r="G59" s="60"/>
    </row>
    <row r="60" spans="2:7" x14ac:dyDescent="0.35">
      <c r="B60" s="60"/>
      <c r="C60" s="60"/>
      <c r="D60" s="60"/>
      <c r="E60" s="60"/>
      <c r="F60" s="60"/>
      <c r="G60" s="60"/>
    </row>
    <row r="61" spans="2:7" x14ac:dyDescent="0.35">
      <c r="B61" s="60"/>
      <c r="C61" s="60"/>
      <c r="D61" s="60"/>
      <c r="E61" s="60"/>
      <c r="F61" s="60"/>
      <c r="G61" s="60"/>
    </row>
  </sheetData>
  <sheetProtection algorithmName="SHA-512" hashValue="AUjZiCkPA/4wJ5UhJRq9Jk/QEpEadNWTe147MEtmG6YSvPZRO6GXxpGEQY0HffJQbxb0LsVGt6+WpildX1G77w==" saltValue="h/L4YRpxhgAk55xcEiBrAA==" spinCount="100000" sheet="1" scenarios="1" selectLockedCells="1"/>
  <mergeCells count="1">
    <mergeCell ref="B3:L3"/>
  </mergeCells>
  <conditionalFormatting sqref="D32:F32 D40:F40">
    <cfRule type="cellIs" dxfId="1" priority="2" operator="lessThan">
      <formula>0</formula>
    </cfRule>
    <cfRule type="expression" dxfId="0" priority="3">
      <formula>"&gt;0"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Scroll Bar 1">
              <controlPr defaultSize="0" autoPict="0">
                <anchor moveWithCells="1">
                  <from>
                    <xdr:col>8</xdr:col>
                    <xdr:colOff>0</xdr:colOff>
                    <xdr:row>19</xdr:row>
                    <xdr:rowOff>0</xdr:rowOff>
                  </from>
                  <to>
                    <xdr:col>12</xdr:col>
                    <xdr:colOff>0</xdr:colOff>
                    <xdr:row>20</xdr:row>
                    <xdr:rowOff>0</xdr:rowOff>
                  </to>
                </anchor>
              </controlPr>
            </control>
          </mc:Choice>
        </mc:AlternateContent>
        <mc:AlternateContent xmlns:mc="http://schemas.openxmlformats.org/markup-compatibility/2006">
          <mc:Choice Requires="x14">
            <control shapeId="13314" r:id="rId5" name="Scroll Bar 2">
              <controlPr defaultSize="0" autoPict="0">
                <anchor moveWithCells="1">
                  <from>
                    <xdr:col>8</xdr:col>
                    <xdr:colOff>0</xdr:colOff>
                    <xdr:row>22</xdr:row>
                    <xdr:rowOff>0</xdr:rowOff>
                  </from>
                  <to>
                    <xdr:col>12</xdr:col>
                    <xdr:colOff>0</xdr:colOff>
                    <xdr:row>23</xdr:row>
                    <xdr:rowOff>0</xdr:rowOff>
                  </to>
                </anchor>
              </controlPr>
            </control>
          </mc:Choice>
        </mc:AlternateContent>
        <mc:AlternateContent xmlns:mc="http://schemas.openxmlformats.org/markup-compatibility/2006">
          <mc:Choice Requires="x14">
            <control shapeId="13315" r:id="rId6" name="Scroll Bar 3">
              <controlPr defaultSize="0" autoPict="0">
                <anchor moveWithCells="1">
                  <from>
                    <xdr:col>8</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13316" r:id="rId7" name="Scroll Bar 4">
              <controlPr defaultSize="0" autoPict="0">
                <anchor moveWithCells="1">
                  <from>
                    <xdr:col>8</xdr:col>
                    <xdr:colOff>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3317" r:id="rId8" name="Scroll Bar 5">
              <controlPr defaultSize="0" autoPict="0">
                <anchor moveWithCells="1">
                  <from>
                    <xdr:col>8</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13318" r:id="rId9" name="Scroll Bar 6">
              <controlPr defaultSize="0" autoPict="0">
                <anchor moveWithCells="1">
                  <from>
                    <xdr:col>8</xdr:col>
                    <xdr:colOff>0</xdr:colOff>
                    <xdr:row>24</xdr:row>
                    <xdr:rowOff>0</xdr:rowOff>
                  </from>
                  <to>
                    <xdr:col>12</xdr:col>
                    <xdr:colOff>0</xdr:colOff>
                    <xdr:row>25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4" id="{00000000-000E-0000-0100-00000A000000}">
            <x14:iconSet iconSet="3Symbols2" custom="1">
              <x14:cfvo type="percent">
                <xm:f>0</xm:f>
              </x14:cfvo>
              <x14:cfvo type="formula">
                <xm:f>OFFSET($D$32,18,0)</xm:f>
              </x14:cfvo>
              <x14:cfvo type="formula" gte="0">
                <xm:f>OFFSET($D$32,18,0)</xm:f>
              </x14:cfvo>
              <x14:cfIcon iconSet="NoIcons" iconId="0"/>
              <x14:cfIcon iconSet="3Symbols2" iconId="2"/>
              <x14:cfIcon iconSet="3Symbols2" iconId="2"/>
            </x14:iconSet>
          </x14:cfRule>
          <xm:sqref>D32</xm:sqref>
        </x14:conditionalFormatting>
        <x14:conditionalFormatting xmlns:xm="http://schemas.microsoft.com/office/excel/2006/main">
          <x14:cfRule type="iconSet" priority="7" id="{00000000-000E-0000-0100-000006000000}">
            <x14:iconSet iconSet="3Symbols2" custom="1">
              <x14:cfvo type="percent">
                <xm:f>0</xm:f>
              </x14:cfvo>
              <x14:cfvo type="formula">
                <xm:f>OFFSET($D$40,11,0)</xm:f>
              </x14:cfvo>
              <x14:cfvo type="formula" gte="0">
                <xm:f>OFFSET($D$40,11,0)</xm:f>
              </x14:cfvo>
              <x14:cfIcon iconSet="NoIcons" iconId="0"/>
              <x14:cfIcon iconSet="3Symbols2" iconId="2"/>
              <x14:cfIcon iconSet="3Symbols2" iconId="2"/>
            </x14:iconSet>
          </x14:cfRule>
          <xm:sqref>D40</xm:sqref>
        </x14:conditionalFormatting>
        <x14:conditionalFormatting xmlns:xm="http://schemas.microsoft.com/office/excel/2006/main">
          <x14:cfRule type="iconSet" priority="6" id="{00000000-000E-0000-0100-000004000000}">
            <x14:iconSet iconSet="3Symbols2" custom="1">
              <x14:cfvo type="percent">
                <xm:f>0</xm:f>
              </x14:cfvo>
              <x14:cfvo type="formula">
                <xm:f>OFFSET($F$32,18,0)</xm:f>
              </x14:cfvo>
              <x14:cfvo type="formula" gte="0">
                <xm:f>OFFSET($F$32,18,0)</xm:f>
              </x14:cfvo>
              <x14:cfIcon iconSet="NoIcons" iconId="0"/>
              <x14:cfIcon iconSet="3Symbols2" iconId="2"/>
              <x14:cfIcon iconSet="3Symbols2" iconId="2"/>
            </x14:iconSet>
          </x14:cfRule>
          <xm:sqref>F32</xm:sqref>
        </x14:conditionalFormatting>
        <x14:conditionalFormatting xmlns:xm="http://schemas.microsoft.com/office/excel/2006/main">
          <x14:cfRule type="iconSet" priority="9" id="{00000000-000E-0000-0100-000003000000}">
            <x14:iconSet iconSet="3Symbols2" custom="1">
              <x14:cfvo type="percent">
                <xm:f>0</xm:f>
              </x14:cfvo>
              <x14:cfvo type="formula">
                <xm:f>OFFSET($F$40,11,0)</xm:f>
              </x14:cfvo>
              <x14:cfvo type="formula" gte="0">
                <xm:f>OFFSET($F$40,11,0)</xm:f>
              </x14:cfvo>
              <x14:cfIcon iconSet="NoIcons" iconId="0"/>
              <x14:cfIcon iconSet="3Symbols2" iconId="2"/>
              <x14:cfIcon iconSet="3Symbols2" iconId="2"/>
            </x14:iconSet>
          </x14:cfRule>
          <xm:sqref>F40</xm:sqref>
        </x14:conditionalFormatting>
        <x14:conditionalFormatting xmlns:xm="http://schemas.microsoft.com/office/excel/2006/main">
          <x14:cfRule type="iconSet" priority="10" id="{89F14D02-28D9-4A18-AF50-BDB5C29972A3}">
            <x14:iconSet custom="1">
              <x14:cfvo type="percent">
                <xm:f>0</xm:f>
              </x14:cfvo>
              <x14:cfvo type="formula">
                <xm:f>OFFSET($D$45,7,0)</xm:f>
              </x14:cfvo>
              <x14:cfvo type="formula" gte="0">
                <xm:f>OFFSET($D$45,7,0)</xm:f>
              </x14:cfvo>
              <x14:cfIcon iconSet="3Symbols2" iconId="2"/>
              <x14:cfIcon iconSet="3Symbols2" iconId="2"/>
              <x14:cfIcon iconSet="NoIcons" iconId="0"/>
            </x14:iconSet>
          </x14:cfRule>
          <xm:sqref>D45</xm:sqref>
        </x14:conditionalFormatting>
        <x14:conditionalFormatting xmlns:xm="http://schemas.microsoft.com/office/excel/2006/main">
          <x14:cfRule type="iconSet" priority="11" id="{BA5C38A4-49EC-488B-8D6F-DA89198FC4A6}">
            <x14:iconSet custom="1">
              <x14:cfvo type="percent">
                <xm:f>0</xm:f>
              </x14:cfvo>
              <x14:cfvo type="formula">
                <xm:f>OFFSET($E$45,7,0)</xm:f>
              </x14:cfvo>
              <x14:cfvo type="formula" gte="0">
                <xm:f>OFFSET($E$45,7,0)</xm:f>
              </x14:cfvo>
              <x14:cfIcon iconSet="3Symbols2" iconId="2"/>
              <x14:cfIcon iconSet="3Symbols2" iconId="2"/>
              <x14:cfIcon iconSet="NoIcons" iconId="0"/>
            </x14:iconSet>
          </x14:cfRule>
          <xm:sqref>E45</xm:sqref>
        </x14:conditionalFormatting>
        <x14:conditionalFormatting xmlns:xm="http://schemas.microsoft.com/office/excel/2006/main">
          <x14:cfRule type="iconSet" priority="12" id="{48047372-BC5C-4D45-9C87-981A131EFC80}">
            <x14:iconSet custom="1">
              <x14:cfvo type="percent">
                <xm:f>0</xm:f>
              </x14:cfvo>
              <x14:cfvo type="formula">
                <xm:f>OFFSET($F$45,7,0)</xm:f>
              </x14:cfvo>
              <x14:cfvo type="formula" gte="0">
                <xm:f>OFFSET($F$45,7,0)</xm:f>
              </x14:cfvo>
              <x14:cfIcon iconSet="3Symbols2" iconId="2"/>
              <x14:cfIcon iconSet="3Symbols2" iconId="2"/>
              <x14:cfIcon iconSet="NoIcons" iconId="0"/>
            </x14:iconSet>
          </x14:cfRule>
          <xm:sqref>F45</xm:sqref>
        </x14:conditionalFormatting>
        <x14:conditionalFormatting xmlns:xm="http://schemas.microsoft.com/office/excel/2006/main">
          <x14:cfRule type="iconSet" priority="13" id="{E73BDE90-E4B4-411B-8810-1364D010A6F1}">
            <x14:iconSet custom="1">
              <x14:cfvo type="percent">
                <xm:f>0</xm:f>
              </x14:cfvo>
              <x14:cfvo type="formula">
                <xm:f>OFFSET($D$46,7,0)</xm:f>
              </x14:cfvo>
              <x14:cfvo type="formula" gte="0">
                <xm:f>OFFSET($D$46,7,0)</xm:f>
              </x14:cfvo>
              <x14:cfIcon iconSet="NoIcons" iconId="0"/>
              <x14:cfIcon iconSet="3Symbols2" iconId="2"/>
              <x14:cfIcon iconSet="3Symbols2" iconId="2"/>
            </x14:iconSet>
          </x14:cfRule>
          <xm:sqref>D46</xm:sqref>
        </x14:conditionalFormatting>
        <x14:conditionalFormatting xmlns:xm="http://schemas.microsoft.com/office/excel/2006/main">
          <x14:cfRule type="iconSet" priority="14" id="{D1C3FEE4-9FDF-4D54-BC56-26B83DD9BBE4}">
            <x14:iconSet custom="1">
              <x14:cfvo type="percent">
                <xm:f>0</xm:f>
              </x14:cfvo>
              <x14:cfvo type="formula">
                <xm:f>OFFSET($E$46,7,0)</xm:f>
              </x14:cfvo>
              <x14:cfvo type="formula" gte="0">
                <xm:f>OFFSET($E$46,7,0)</xm:f>
              </x14:cfvo>
              <x14:cfIcon iconSet="NoIcons" iconId="0"/>
              <x14:cfIcon iconSet="3Symbols2" iconId="2"/>
              <x14:cfIcon iconSet="3Symbols2" iconId="2"/>
            </x14:iconSet>
          </x14:cfRule>
          <xm:sqref>E46</xm:sqref>
        </x14:conditionalFormatting>
        <x14:conditionalFormatting xmlns:xm="http://schemas.microsoft.com/office/excel/2006/main">
          <x14:cfRule type="iconSet" priority="16" id="{4739A9F0-1E38-4CB1-9325-ADE9DC023409}">
            <x14:iconSet custom="1">
              <x14:cfvo type="percent">
                <xm:f>0</xm:f>
              </x14:cfvo>
              <x14:cfvo type="formula">
                <xm:f>OFFSET($F$46,7,0)</xm:f>
              </x14:cfvo>
              <x14:cfvo type="formula" gte="0">
                <xm:f>OFFSET($F$46,7,0)</xm:f>
              </x14:cfvo>
              <x14:cfIcon iconSet="NoIcons" iconId="0"/>
              <x14:cfIcon iconSet="3Symbols2" iconId="2"/>
              <x14:cfIcon iconSet="3Symbols2" iconId="2"/>
            </x14:iconSet>
          </x14:cfRule>
          <xm:sqref>F46</xm:sqref>
        </x14:conditionalFormatting>
        <x14:conditionalFormatting xmlns:xm="http://schemas.microsoft.com/office/excel/2006/main">
          <x14:cfRule type="iconSet" priority="17" id="{49550F74-B0F8-45D4-BCC9-684CA02B1B72}">
            <x14:iconSet custom="1">
              <x14:cfvo type="percent">
                <xm:f>0</xm:f>
              </x14:cfvo>
              <x14:cfvo type="formula">
                <xm:f>OFFSET($D$47,7,0)</xm:f>
              </x14:cfvo>
              <x14:cfvo type="formula" gte="0">
                <xm:f>OFFSET($D$47,7,0)</xm:f>
              </x14:cfvo>
              <x14:cfIcon iconSet="NoIcons" iconId="0"/>
              <x14:cfIcon iconSet="3Symbols2" iconId="2"/>
              <x14:cfIcon iconSet="3Symbols2" iconId="2"/>
            </x14:iconSet>
          </x14:cfRule>
          <xm:sqref>D47</xm:sqref>
        </x14:conditionalFormatting>
        <x14:conditionalFormatting xmlns:xm="http://schemas.microsoft.com/office/excel/2006/main">
          <x14:cfRule type="iconSet" priority="21" id="{C058291E-42FD-4CE4-830F-FA9F0B674693}">
            <x14:iconSet custom="1">
              <x14:cfvo type="percent">
                <xm:f>0</xm:f>
              </x14:cfvo>
              <x14:cfvo type="formula">
                <xm:f>OFFSET($D$47,7,0)</xm:f>
              </x14:cfvo>
              <x14:cfvo type="formula" gte="0">
                <xm:f>OFFSET($D$47,7,0)</xm:f>
              </x14:cfvo>
              <x14:cfIcon iconSet="NoIcons" iconId="0"/>
              <x14:cfIcon iconSet="3Symbols2" iconId="2"/>
              <x14:cfIcon iconSet="3Symbols2" iconId="2"/>
            </x14:iconSet>
          </x14:cfRule>
          <xm:sqref>E47</xm:sqref>
        </x14:conditionalFormatting>
        <x14:conditionalFormatting xmlns:xm="http://schemas.microsoft.com/office/excel/2006/main">
          <x14:cfRule type="iconSet" priority="22" id="{00E23FF3-D83E-4A29-BA1A-A0A336DF1E4F}">
            <x14:iconSet custom="1">
              <x14:cfvo type="percent">
                <xm:f>0</xm:f>
              </x14:cfvo>
              <x14:cfvo type="formula">
                <xm:f>OFFSET($F$47,7,0)</xm:f>
              </x14:cfvo>
              <x14:cfvo type="formula" gte="0">
                <xm:f>OFFSET($F$47,7,0)</xm:f>
              </x14:cfvo>
              <x14:cfIcon iconSet="NoIcons" iconId="0"/>
              <x14:cfIcon iconSet="3Symbols2" iconId="2"/>
              <x14:cfIcon iconSet="3Symbols2" iconId="2"/>
            </x14:iconSet>
          </x14:cfRule>
          <xm:sqref>F47</xm:sqref>
        </x14:conditionalFormatting>
        <x14:conditionalFormatting xmlns:xm="http://schemas.microsoft.com/office/excel/2006/main">
          <x14:cfRule type="iconSet" priority="8" id="{0FFF1A01-1058-4033-BCCD-B53142443AEC}">
            <x14:iconSet iconSet="3Symbols2" custom="1">
              <x14:cfvo type="percent">
                <xm:f>0</xm:f>
              </x14:cfvo>
              <x14:cfvo type="formula">
                <xm:f>OFFSET($E$40,11,0)</xm:f>
              </x14:cfvo>
              <x14:cfvo type="formula" gte="0">
                <xm:f>OFFSET($E$40,11,0)</xm:f>
              </x14:cfvo>
              <x14:cfIcon iconSet="NoIcons" iconId="0"/>
              <x14:cfIcon iconSet="3Symbols2" iconId="2"/>
              <x14:cfIcon iconSet="3Symbols2" iconId="2"/>
            </x14:iconSet>
          </x14:cfRule>
          <xm:sqref>E40</xm:sqref>
        </x14:conditionalFormatting>
        <x14:conditionalFormatting xmlns:xm="http://schemas.microsoft.com/office/excel/2006/main">
          <x14:cfRule type="iconSet" priority="5" id="{E54507F4-7D62-4E29-88C4-4DCB1C0D1AC5}">
            <x14:iconSet custom="1">
              <x14:cfvo type="percent">
                <xm:f>0</xm:f>
              </x14:cfvo>
              <x14:cfvo type="formula">
                <xm:f>OFFSET($D$32,18,0)</xm:f>
              </x14:cfvo>
              <x14:cfvo type="formula" gte="0">
                <xm:f>OFFSET($D$32,18,0)</xm:f>
              </x14:cfvo>
              <x14:cfIcon iconSet="NoIcons" iconId="0"/>
              <x14:cfIcon iconSet="3Symbols2" iconId="2"/>
              <x14:cfIcon iconSet="3Symbols2" iconId="2"/>
            </x14:iconSet>
          </x14:cfRule>
          <xm:sqref>E32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E4E5F-54C9-44A8-AA3F-807118AC6725}">
  <dimension ref="A1:Z147"/>
  <sheetViews>
    <sheetView showGridLines="0" zoomScaleNormal="100" workbookViewId="0">
      <selection activeCell="F5" sqref="F5"/>
    </sheetView>
  </sheetViews>
  <sheetFormatPr defaultRowHeight="14.5" x14ac:dyDescent="0.35"/>
  <cols>
    <col min="1" max="1" width="3.81640625" customWidth="1"/>
    <col min="2" max="3" width="3.453125" customWidth="1"/>
    <col min="4" max="4" width="73" customWidth="1"/>
    <col min="5" max="16" width="11.6328125" customWidth="1"/>
    <col min="17" max="17" width="1.81640625" customWidth="1"/>
    <col min="18" max="18" width="1.90625" customWidth="1"/>
    <col min="19" max="19" width="28.54296875" customWidth="1"/>
    <col min="20" max="20" width="2" customWidth="1"/>
    <col min="21" max="21" width="1.36328125" customWidth="1"/>
    <col min="22" max="22" width="1.81640625" customWidth="1"/>
    <col min="23" max="23" width="3.1796875" customWidth="1"/>
    <col min="24" max="24" width="24.1796875" customWidth="1"/>
    <col min="25" max="25" width="37.453125" customWidth="1"/>
    <col min="26" max="26" width="3.1796875" customWidth="1"/>
  </cols>
  <sheetData>
    <row r="1" spans="1:26" x14ac:dyDescent="0.35">
      <c r="A1" s="55" t="b">
        <f>(A6+A28+A49+A74+A107)&lt;&gt;0</f>
        <v>1</v>
      </c>
      <c r="C1" s="34"/>
    </row>
    <row r="2" spans="1:26" ht="33.5" x14ac:dyDescent="0.35">
      <c r="B2" s="5" t="s">
        <v>112</v>
      </c>
      <c r="C2" s="5"/>
    </row>
    <row r="3" spans="1:26" ht="38" customHeight="1" x14ac:dyDescent="0.35">
      <c r="B3" s="122" t="s">
        <v>113</v>
      </c>
      <c r="C3" s="122"/>
      <c r="D3" s="122"/>
      <c r="E3" s="122"/>
      <c r="F3" s="122"/>
      <c r="G3" s="122"/>
      <c r="H3" s="122"/>
      <c r="I3" s="122"/>
      <c r="J3" s="122"/>
      <c r="K3" s="122"/>
      <c r="L3" s="122"/>
      <c r="M3" s="122"/>
      <c r="N3" s="122"/>
      <c r="O3" s="122"/>
      <c r="P3" s="122"/>
      <c r="Q3" s="122"/>
    </row>
    <row r="4" spans="1:26" ht="15" thickBot="1" x14ac:dyDescent="0.4"/>
    <row r="5" spans="1:26" x14ac:dyDescent="0.35">
      <c r="B5" s="123" t="s">
        <v>116</v>
      </c>
      <c r="C5" s="124"/>
      <c r="D5" s="124"/>
      <c r="E5" s="9" t="s">
        <v>202</v>
      </c>
      <c r="F5" s="85">
        <v>2022</v>
      </c>
      <c r="G5" s="85">
        <v>2023</v>
      </c>
      <c r="H5" s="85">
        <v>2024</v>
      </c>
      <c r="I5" s="85">
        <v>2025</v>
      </c>
      <c r="J5" s="85">
        <v>2026</v>
      </c>
      <c r="K5" s="85">
        <v>2027</v>
      </c>
      <c r="L5" s="85">
        <v>2028</v>
      </c>
      <c r="M5" s="85">
        <v>2029</v>
      </c>
      <c r="N5" s="85">
        <v>2030</v>
      </c>
      <c r="O5" s="85">
        <v>2031</v>
      </c>
      <c r="P5" s="85">
        <v>2032</v>
      </c>
      <c r="Q5" s="11"/>
      <c r="S5" s="25" t="s">
        <v>201</v>
      </c>
      <c r="V5" s="6"/>
      <c r="W5" s="125" t="s">
        <v>205</v>
      </c>
      <c r="X5" s="125"/>
      <c r="Y5" s="125"/>
      <c r="Z5" s="6"/>
    </row>
    <row r="6" spans="1:26" x14ac:dyDescent="0.35">
      <c r="A6" s="55" t="b">
        <f>(B7+B11+B18)&lt;&gt;0</f>
        <v>1</v>
      </c>
      <c r="B6" s="12" t="s">
        <v>114</v>
      </c>
      <c r="C6" s="15"/>
      <c r="D6" s="8"/>
      <c r="E6" s="8"/>
      <c r="F6" s="8"/>
      <c r="G6" s="8"/>
      <c r="H6" s="8"/>
      <c r="I6" s="8"/>
      <c r="J6" s="8"/>
      <c r="K6" s="8"/>
      <c r="L6" s="8"/>
      <c r="M6" s="8"/>
      <c r="N6" s="8"/>
      <c r="O6" s="8"/>
      <c r="P6" s="8"/>
      <c r="Q6" s="13"/>
      <c r="S6" s="29" t="s">
        <v>203</v>
      </c>
      <c r="V6" s="7"/>
      <c r="W6" s="7" t="s">
        <v>204</v>
      </c>
      <c r="X6" s="7"/>
      <c r="Y6" s="7"/>
      <c r="Z6" s="7"/>
    </row>
    <row r="7" spans="1:26" x14ac:dyDescent="0.35">
      <c r="B7" s="54" t="b" cm="1">
        <f t="array" ref="B7">SUMPRODUCT(--(F8:P10&lt;&gt;""))&lt;&gt;0</f>
        <v>0</v>
      </c>
      <c r="C7" s="15" t="s">
        <v>115</v>
      </c>
      <c r="D7" s="8"/>
      <c r="E7" s="8"/>
      <c r="F7" s="8"/>
      <c r="G7" s="8"/>
      <c r="H7" s="8"/>
      <c r="I7" s="8"/>
      <c r="J7" s="8"/>
      <c r="K7" s="8"/>
      <c r="L7" s="8"/>
      <c r="M7" s="8"/>
      <c r="N7" s="8"/>
      <c r="O7" s="8"/>
      <c r="P7" s="8"/>
      <c r="Q7" s="13"/>
      <c r="S7" s="27"/>
      <c r="V7" s="7"/>
      <c r="W7" s="7"/>
      <c r="X7" s="7" t="s">
        <v>206</v>
      </c>
      <c r="Y7" s="7" t="s">
        <v>207</v>
      </c>
      <c r="Z7" s="7"/>
    </row>
    <row r="8" spans="1:26" x14ac:dyDescent="0.35">
      <c r="B8" s="12"/>
      <c r="C8" s="15"/>
      <c r="D8" s="35" t="s">
        <v>117</v>
      </c>
      <c r="E8" s="1">
        <f t="shared" ref="E8:E10" si="0">SUM(F8:P8)</f>
        <v>0</v>
      </c>
      <c r="F8" s="2"/>
      <c r="G8" s="2"/>
      <c r="H8" s="2"/>
      <c r="I8" s="2"/>
      <c r="J8" s="2"/>
      <c r="K8" s="2"/>
      <c r="L8" s="2"/>
      <c r="M8" s="2"/>
      <c r="N8" s="2"/>
      <c r="O8" s="2"/>
      <c r="P8" s="2"/>
      <c r="Q8" s="13"/>
      <c r="S8" s="27"/>
      <c r="V8" s="7"/>
      <c r="W8" s="7">
        <v>1</v>
      </c>
      <c r="X8" s="2"/>
      <c r="Y8" s="2"/>
      <c r="Z8" s="7"/>
    </row>
    <row r="9" spans="1:26" x14ac:dyDescent="0.35">
      <c r="B9" s="12"/>
      <c r="C9" s="15"/>
      <c r="D9" s="8" t="s">
        <v>118</v>
      </c>
      <c r="E9" s="1">
        <f t="shared" si="0"/>
        <v>0</v>
      </c>
      <c r="F9" s="2"/>
      <c r="G9" s="2"/>
      <c r="H9" s="2"/>
      <c r="I9" s="2"/>
      <c r="J9" s="2"/>
      <c r="K9" s="2"/>
      <c r="L9" s="2"/>
      <c r="M9" s="2"/>
      <c r="N9" s="2"/>
      <c r="O9" s="2"/>
      <c r="P9" s="2"/>
      <c r="Q9" s="13"/>
      <c r="S9" s="27"/>
      <c r="V9" s="7"/>
      <c r="W9" s="7">
        <v>2</v>
      </c>
      <c r="X9" s="2"/>
      <c r="Y9" s="2"/>
      <c r="Z9" s="7"/>
    </row>
    <row r="10" spans="1:26" x14ac:dyDescent="0.35">
      <c r="B10" s="12"/>
      <c r="C10" s="15"/>
      <c r="D10" s="8" t="s">
        <v>119</v>
      </c>
      <c r="E10" s="1">
        <f t="shared" si="0"/>
        <v>0</v>
      </c>
      <c r="F10" s="2"/>
      <c r="G10" s="2"/>
      <c r="H10" s="2"/>
      <c r="I10" s="2"/>
      <c r="J10" s="2"/>
      <c r="K10" s="2"/>
      <c r="L10" s="2"/>
      <c r="M10" s="2"/>
      <c r="N10" s="2"/>
      <c r="O10" s="2"/>
      <c r="P10" s="2"/>
      <c r="Q10" s="13"/>
      <c r="S10" s="27"/>
      <c r="V10" s="7"/>
      <c r="W10" s="7">
        <v>3</v>
      </c>
      <c r="X10" s="2"/>
      <c r="Y10" s="2"/>
      <c r="Z10" s="7"/>
    </row>
    <row r="11" spans="1:26" x14ac:dyDescent="0.35">
      <c r="B11" s="54" t="b" cm="1">
        <f t="array" ref="B11">SUMPRODUCT(--(F12:P17&lt;&gt;""))&lt;&gt;0</f>
        <v>1</v>
      </c>
      <c r="C11" s="15" t="s">
        <v>221</v>
      </c>
      <c r="D11" s="8"/>
      <c r="E11" s="8"/>
      <c r="F11" s="8"/>
      <c r="G11" s="8"/>
      <c r="H11" s="8"/>
      <c r="I11" s="8"/>
      <c r="J11" s="8"/>
      <c r="K11" s="8"/>
      <c r="L11" s="8"/>
      <c r="M11" s="8"/>
      <c r="N11" s="8"/>
      <c r="O11" s="8"/>
      <c r="P11" s="8"/>
      <c r="Q11" s="13"/>
      <c r="S11" s="28"/>
      <c r="V11" s="7"/>
      <c r="W11" s="7">
        <v>4</v>
      </c>
      <c r="X11" s="2"/>
      <c r="Y11" s="2"/>
      <c r="Z11" s="7"/>
    </row>
    <row r="12" spans="1:26" x14ac:dyDescent="0.35">
      <c r="B12" s="14"/>
      <c r="C12" s="8"/>
      <c r="D12" s="8" t="s">
        <v>120</v>
      </c>
      <c r="E12" s="1">
        <f t="shared" ref="E12:E14" si="1">SUM(F12:P12)</f>
        <v>0</v>
      </c>
      <c r="F12" s="2"/>
      <c r="G12" s="2"/>
      <c r="H12" s="2"/>
      <c r="I12" s="2"/>
      <c r="J12" s="2"/>
      <c r="K12" s="2"/>
      <c r="L12" s="2"/>
      <c r="M12" s="2"/>
      <c r="N12" s="2"/>
      <c r="O12" s="2"/>
      <c r="P12" s="2"/>
      <c r="Q12" s="13"/>
      <c r="S12" s="28"/>
      <c r="V12" s="7"/>
      <c r="W12" s="7">
        <v>5</v>
      </c>
      <c r="X12" s="2"/>
      <c r="Y12" s="2"/>
      <c r="Z12" s="7"/>
    </row>
    <row r="13" spans="1:26" x14ac:dyDescent="0.35">
      <c r="B13" s="14"/>
      <c r="C13" s="8"/>
      <c r="D13" s="8" t="s">
        <v>121</v>
      </c>
      <c r="E13" s="1">
        <f t="shared" si="1"/>
        <v>0</v>
      </c>
      <c r="F13" s="57"/>
      <c r="G13" s="2"/>
      <c r="H13" s="2"/>
      <c r="I13" s="2"/>
      <c r="J13" s="2"/>
      <c r="K13" s="2"/>
      <c r="L13" s="2"/>
      <c r="M13" s="2"/>
      <c r="N13" s="2"/>
      <c r="O13" s="2"/>
      <c r="P13" s="2"/>
      <c r="Q13" s="13"/>
      <c r="S13" s="28"/>
      <c r="V13" s="7"/>
      <c r="W13" s="7" t="s">
        <v>208</v>
      </c>
      <c r="X13" s="7"/>
      <c r="Y13" s="7" t="s">
        <v>207</v>
      </c>
      <c r="Z13" s="7"/>
    </row>
    <row r="14" spans="1:26" x14ac:dyDescent="0.35">
      <c r="B14" s="14"/>
      <c r="C14" s="8"/>
      <c r="D14" s="8" t="s">
        <v>169</v>
      </c>
      <c r="E14" s="1">
        <f t="shared" si="1"/>
        <v>0</v>
      </c>
      <c r="F14" s="2"/>
      <c r="G14" s="2"/>
      <c r="H14" s="2"/>
      <c r="I14" s="2"/>
      <c r="J14" s="2"/>
      <c r="K14" s="2"/>
      <c r="L14" s="2"/>
      <c r="M14" s="2"/>
      <c r="N14" s="2"/>
      <c r="O14" s="2"/>
      <c r="P14" s="2"/>
      <c r="Q14" s="13"/>
      <c r="S14" s="28"/>
      <c r="V14" s="7"/>
      <c r="W14" s="7">
        <v>6</v>
      </c>
      <c r="X14" s="2"/>
      <c r="Y14" s="2"/>
      <c r="Z14" s="7"/>
    </row>
    <row r="15" spans="1:26" x14ac:dyDescent="0.35">
      <c r="B15" s="14"/>
      <c r="C15" s="8"/>
      <c r="D15" s="8" t="s">
        <v>122</v>
      </c>
      <c r="E15" s="1">
        <f>SUM(F15:P15)</f>
        <v>0</v>
      </c>
      <c r="F15" s="2"/>
      <c r="G15" s="2"/>
      <c r="H15" s="2"/>
      <c r="I15" s="2"/>
      <c r="J15" s="2"/>
      <c r="K15" s="2"/>
      <c r="L15" s="2"/>
      <c r="M15" s="2"/>
      <c r="N15" s="2"/>
      <c r="O15" s="2"/>
      <c r="P15" s="2"/>
      <c r="Q15" s="13"/>
      <c r="S15" s="28"/>
      <c r="V15" s="7"/>
      <c r="W15" s="7">
        <v>7</v>
      </c>
      <c r="X15" s="2"/>
      <c r="Y15" s="2"/>
      <c r="Z15" s="7"/>
    </row>
    <row r="16" spans="1:26" x14ac:dyDescent="0.35">
      <c r="B16" s="14"/>
      <c r="C16" s="8"/>
      <c r="D16" s="8" t="s">
        <v>123</v>
      </c>
      <c r="E16" s="1">
        <f t="shared" ref="E16:E21" si="2">SUM(F16:P16)</f>
        <v>3</v>
      </c>
      <c r="F16" s="2"/>
      <c r="G16" s="2">
        <v>3</v>
      </c>
      <c r="H16" s="2"/>
      <c r="I16" s="2"/>
      <c r="J16" s="2"/>
      <c r="K16" s="2"/>
      <c r="L16" s="2"/>
      <c r="M16" s="2"/>
      <c r="N16" s="2"/>
      <c r="O16" s="2"/>
      <c r="P16" s="2"/>
      <c r="Q16" s="13"/>
      <c r="S16" s="28"/>
      <c r="V16" s="7"/>
      <c r="W16" s="7">
        <v>8</v>
      </c>
      <c r="X16" s="2"/>
      <c r="Y16" s="2"/>
      <c r="Z16" s="7"/>
    </row>
    <row r="17" spans="1:26" x14ac:dyDescent="0.35">
      <c r="B17" s="14"/>
      <c r="C17" s="8"/>
      <c r="D17" s="8" t="s">
        <v>124</v>
      </c>
      <c r="E17" s="1">
        <f t="shared" si="2"/>
        <v>2</v>
      </c>
      <c r="F17" s="2">
        <v>1</v>
      </c>
      <c r="G17" s="2">
        <v>1</v>
      </c>
      <c r="H17" s="2"/>
      <c r="I17" s="2"/>
      <c r="J17" s="2"/>
      <c r="K17" s="2"/>
      <c r="L17" s="2"/>
      <c r="M17" s="2"/>
      <c r="N17" s="2"/>
      <c r="O17" s="2"/>
      <c r="P17" s="2"/>
      <c r="Q17" s="13"/>
      <c r="S17" s="28"/>
      <c r="V17" s="7"/>
      <c r="W17" s="7">
        <v>9</v>
      </c>
      <c r="X17" s="2"/>
      <c r="Y17" s="2"/>
      <c r="Z17" s="7"/>
    </row>
    <row r="18" spans="1:26" x14ac:dyDescent="0.35">
      <c r="B18" s="54" t="b" cm="1">
        <f t="array" ref="B18">SUMPRODUCT(--(F19:P21&lt;&gt;""))&lt;&gt;0</f>
        <v>1</v>
      </c>
      <c r="C18" s="15" t="s">
        <v>125</v>
      </c>
      <c r="D18" s="8"/>
      <c r="E18" s="8"/>
      <c r="F18" s="8"/>
      <c r="G18" s="8"/>
      <c r="H18" s="8"/>
      <c r="I18" s="8"/>
      <c r="J18" s="8"/>
      <c r="K18" s="8"/>
      <c r="L18" s="8"/>
      <c r="M18" s="8"/>
      <c r="N18" s="8"/>
      <c r="O18" s="8"/>
      <c r="P18" s="8"/>
      <c r="Q18" s="13"/>
      <c r="S18" s="28"/>
      <c r="V18" s="7"/>
      <c r="W18" s="7"/>
      <c r="X18" s="7"/>
      <c r="Y18" s="7"/>
      <c r="Z18" s="7"/>
    </row>
    <row r="19" spans="1:26" x14ac:dyDescent="0.35">
      <c r="B19" s="14"/>
      <c r="C19" s="8"/>
      <c r="D19" s="8" t="s">
        <v>126</v>
      </c>
      <c r="E19" s="1">
        <f t="shared" si="2"/>
        <v>0</v>
      </c>
      <c r="F19" s="2"/>
      <c r="G19" s="2"/>
      <c r="H19" s="2"/>
      <c r="I19" s="2"/>
      <c r="J19" s="2"/>
      <c r="K19" s="2"/>
      <c r="L19" s="2"/>
      <c r="M19" s="2"/>
      <c r="N19" s="2"/>
      <c r="O19" s="2"/>
      <c r="P19" s="2"/>
      <c r="Q19" s="13"/>
      <c r="S19" s="28"/>
      <c r="V19" s="7"/>
      <c r="W19" s="125" t="s">
        <v>209</v>
      </c>
      <c r="X19" s="125"/>
      <c r="Y19" s="125"/>
      <c r="Z19" s="7"/>
    </row>
    <row r="20" spans="1:26" x14ac:dyDescent="0.35">
      <c r="B20" s="14"/>
      <c r="C20" s="8"/>
      <c r="D20" s="8" t="s">
        <v>127</v>
      </c>
      <c r="E20" s="1">
        <f t="shared" si="2"/>
        <v>1</v>
      </c>
      <c r="F20" s="3"/>
      <c r="G20" s="3">
        <v>1</v>
      </c>
      <c r="H20" s="3"/>
      <c r="I20" s="3"/>
      <c r="J20" s="3"/>
      <c r="K20" s="3"/>
      <c r="L20" s="3"/>
      <c r="M20" s="3"/>
      <c r="N20" s="3"/>
      <c r="O20" s="3"/>
      <c r="P20" s="3"/>
      <c r="Q20" s="13"/>
      <c r="S20" s="28"/>
      <c r="V20" s="7"/>
      <c r="W20" s="7" t="s">
        <v>210</v>
      </c>
      <c r="X20" s="7"/>
      <c r="Y20" s="7"/>
      <c r="Z20" s="7"/>
    </row>
    <row r="21" spans="1:26" ht="15" thickBot="1" x14ac:dyDescent="0.4">
      <c r="B21" s="14"/>
      <c r="C21" s="8"/>
      <c r="D21" s="8" t="s">
        <v>128</v>
      </c>
      <c r="E21" s="31">
        <f t="shared" si="2"/>
        <v>2</v>
      </c>
      <c r="F21" s="45">
        <v>1</v>
      </c>
      <c r="G21" s="45">
        <v>1</v>
      </c>
      <c r="H21" s="45"/>
      <c r="I21" s="45"/>
      <c r="J21" s="45"/>
      <c r="K21" s="45"/>
      <c r="L21" s="45"/>
      <c r="M21" s="45"/>
      <c r="N21" s="45"/>
      <c r="O21" s="45"/>
      <c r="P21" s="45"/>
      <c r="Q21" s="13"/>
      <c r="S21" s="28"/>
      <c r="V21" s="7"/>
      <c r="W21" s="7"/>
      <c r="X21" s="7" t="s">
        <v>211</v>
      </c>
      <c r="Y21" s="7" t="s">
        <v>212</v>
      </c>
      <c r="Z21" s="7"/>
    </row>
    <row r="22" spans="1:26" ht="15" thickTop="1" x14ac:dyDescent="0.35">
      <c r="B22" s="14"/>
      <c r="C22" s="15" t="s">
        <v>129</v>
      </c>
      <c r="D22" s="15"/>
      <c r="E22" s="32">
        <f>SUM(E8:E10,E12:E17,E19:E21)</f>
        <v>8</v>
      </c>
      <c r="F22" s="32">
        <f t="shared" ref="F22:P22" si="3">SUM(F8:F10,F12:F17,F19:F21)</f>
        <v>2</v>
      </c>
      <c r="G22" s="32">
        <f t="shared" si="3"/>
        <v>6</v>
      </c>
      <c r="H22" s="32">
        <f t="shared" si="3"/>
        <v>0</v>
      </c>
      <c r="I22" s="32">
        <f t="shared" si="3"/>
        <v>0</v>
      </c>
      <c r="J22" s="32">
        <f t="shared" si="3"/>
        <v>0</v>
      </c>
      <c r="K22" s="32">
        <f t="shared" si="3"/>
        <v>0</v>
      </c>
      <c r="L22" s="32">
        <f t="shared" si="3"/>
        <v>0</v>
      </c>
      <c r="M22" s="32">
        <f t="shared" si="3"/>
        <v>0</v>
      </c>
      <c r="N22" s="32">
        <f t="shared" si="3"/>
        <v>0</v>
      </c>
      <c r="O22" s="32">
        <f t="shared" si="3"/>
        <v>0</v>
      </c>
      <c r="P22" s="32">
        <f t="shared" si="3"/>
        <v>0</v>
      </c>
      <c r="Q22" s="13"/>
      <c r="S22" s="28"/>
      <c r="V22" s="7"/>
      <c r="W22" s="7">
        <v>1</v>
      </c>
      <c r="X22" s="2"/>
      <c r="Y22" s="2"/>
      <c r="Z22" s="7"/>
    </row>
    <row r="23" spans="1:26" x14ac:dyDescent="0.35">
      <c r="B23" s="14"/>
      <c r="C23" s="15"/>
      <c r="D23" s="35" t="s">
        <v>130</v>
      </c>
      <c r="E23" s="82">
        <f>SUM(F23:P24)</f>
        <v>8</v>
      </c>
      <c r="F23" s="82">
        <f>F22/(1+'Viability comparison'!$D$6)^0</f>
        <v>2</v>
      </c>
      <c r="G23" s="82">
        <f>G22/(1+'Viability comparison'!$D$6)^1</f>
        <v>6</v>
      </c>
      <c r="H23" s="82">
        <f>H22/(1+'Viability comparison'!$D$6)^2</f>
        <v>0</v>
      </c>
      <c r="I23" s="82">
        <f>I22/(1+'Viability comparison'!$D$6)^3</f>
        <v>0</v>
      </c>
      <c r="J23" s="82">
        <f>J22/(1+'Viability comparison'!$D$6)^4</f>
        <v>0</v>
      </c>
      <c r="K23" s="82">
        <f>K22/(1+'Viability comparison'!$D$6)^5</f>
        <v>0</v>
      </c>
      <c r="L23" s="82">
        <f>L22/(1+'Viability comparison'!$D$6)^6</f>
        <v>0</v>
      </c>
      <c r="M23" s="82">
        <f>M22/(1+'Viability comparison'!$D$6)^7</f>
        <v>0</v>
      </c>
      <c r="N23" s="82">
        <f>N22/(1+'Viability comparison'!$D$6)^8</f>
        <v>0</v>
      </c>
      <c r="O23" s="82">
        <f>O22/(1+'Viability comparison'!$D$6)^9</f>
        <v>0</v>
      </c>
      <c r="P23" s="82">
        <f>P22/(1+'Viability comparison'!$D$6)^10</f>
        <v>0</v>
      </c>
      <c r="Q23" s="13"/>
      <c r="S23" s="43"/>
      <c r="V23" s="7"/>
      <c r="W23" s="7">
        <v>2</v>
      </c>
      <c r="X23" s="2"/>
      <c r="Y23" s="2"/>
      <c r="Z23" s="7"/>
    </row>
    <row r="24" spans="1:26" x14ac:dyDescent="0.35">
      <c r="B24" s="14"/>
      <c r="C24" s="15"/>
      <c r="D24" s="15"/>
      <c r="E24" s="15"/>
      <c r="F24" s="15"/>
      <c r="G24" s="15"/>
      <c r="H24" s="15"/>
      <c r="I24" s="15"/>
      <c r="J24" s="15"/>
      <c r="K24" s="15"/>
      <c r="L24" s="15"/>
      <c r="M24" s="15"/>
      <c r="N24" s="15"/>
      <c r="O24" s="15"/>
      <c r="P24" s="15"/>
      <c r="Q24" s="13"/>
      <c r="S24" s="43"/>
      <c r="V24" s="7"/>
      <c r="W24" s="7">
        <v>3</v>
      </c>
      <c r="X24" s="2"/>
      <c r="Y24" s="2"/>
      <c r="Z24" s="7"/>
    </row>
    <row r="25" spans="1:26" x14ac:dyDescent="0.35">
      <c r="B25" s="54"/>
      <c r="C25" s="15" t="s">
        <v>131</v>
      </c>
      <c r="D25" s="15"/>
      <c r="E25" s="46">
        <v>0</v>
      </c>
      <c r="F25" s="15"/>
      <c r="G25" s="15"/>
      <c r="H25" s="15"/>
      <c r="I25" s="15"/>
      <c r="J25" s="15"/>
      <c r="K25" s="15"/>
      <c r="L25" s="15"/>
      <c r="M25" s="15"/>
      <c r="N25" s="15"/>
      <c r="O25" s="15"/>
      <c r="P25" s="15"/>
      <c r="Q25" s="13"/>
      <c r="S25" s="43"/>
      <c r="V25" s="7"/>
      <c r="W25" s="7">
        <v>4</v>
      </c>
      <c r="X25" s="2"/>
      <c r="Y25" s="2"/>
      <c r="Z25" s="7"/>
    </row>
    <row r="26" spans="1:26" ht="15" thickBot="1" x14ac:dyDescent="0.4">
      <c r="B26" s="16"/>
      <c r="C26" s="17"/>
      <c r="D26" s="17"/>
      <c r="E26" s="17"/>
      <c r="F26" s="17"/>
      <c r="G26" s="17"/>
      <c r="H26" s="17"/>
      <c r="I26" s="17"/>
      <c r="J26" s="17"/>
      <c r="K26" s="17"/>
      <c r="L26" s="17"/>
      <c r="M26" s="17"/>
      <c r="N26" s="17"/>
      <c r="O26" s="17"/>
      <c r="P26" s="17"/>
      <c r="Q26" s="18"/>
      <c r="S26" s="26"/>
      <c r="V26" s="7"/>
      <c r="W26" s="7">
        <v>5</v>
      </c>
      <c r="X26" s="2"/>
      <c r="Y26" s="2"/>
      <c r="Z26" s="7"/>
    </row>
    <row r="27" spans="1:26" ht="15" thickBot="1" x14ac:dyDescent="0.4">
      <c r="V27" s="7"/>
      <c r="W27" s="7" t="s">
        <v>213</v>
      </c>
      <c r="X27" s="7"/>
      <c r="Y27" s="7" t="s">
        <v>212</v>
      </c>
      <c r="Z27" s="7"/>
    </row>
    <row r="28" spans="1:26" x14ac:dyDescent="0.35">
      <c r="A28" s="55" t="b">
        <f>(B29+B33+B40)&lt;&gt;0</f>
        <v>1</v>
      </c>
      <c r="B28" s="19" t="s">
        <v>132</v>
      </c>
      <c r="C28" s="36"/>
      <c r="D28" s="20"/>
      <c r="E28" s="20"/>
      <c r="F28" s="20"/>
      <c r="G28" s="20"/>
      <c r="H28" s="20"/>
      <c r="I28" s="20"/>
      <c r="J28" s="20"/>
      <c r="K28" s="20"/>
      <c r="L28" s="20"/>
      <c r="M28" s="20"/>
      <c r="N28" s="20"/>
      <c r="O28" s="20"/>
      <c r="P28" s="20"/>
      <c r="Q28" s="21"/>
      <c r="S28" s="30"/>
      <c r="V28" s="7"/>
      <c r="W28" s="8">
        <v>6</v>
      </c>
      <c r="X28" s="2"/>
      <c r="Y28" s="2"/>
      <c r="Z28" s="7"/>
    </row>
    <row r="29" spans="1:26" x14ac:dyDescent="0.35">
      <c r="B29" s="54" t="b" cm="1">
        <f t="array" ref="B29">SUMPRODUCT(--(F30:P32&lt;&gt;""))&lt;&gt;0</f>
        <v>0</v>
      </c>
      <c r="C29" s="15" t="str">
        <f>C7</f>
        <v>Primary activies costs</v>
      </c>
      <c r="D29" s="8"/>
      <c r="E29" s="8"/>
      <c r="F29" s="8"/>
      <c r="G29" s="8"/>
      <c r="H29" s="8"/>
      <c r="I29" s="8"/>
      <c r="J29" s="8"/>
      <c r="K29" s="8"/>
      <c r="L29" s="8"/>
      <c r="M29" s="8"/>
      <c r="N29" s="8"/>
      <c r="O29" s="8"/>
      <c r="P29" s="8"/>
      <c r="Q29" s="13"/>
      <c r="S29" s="27"/>
      <c r="V29" s="7"/>
      <c r="W29" s="8">
        <v>7</v>
      </c>
      <c r="X29" s="2"/>
      <c r="Y29" s="2"/>
      <c r="Z29" s="7"/>
    </row>
    <row r="30" spans="1:26" x14ac:dyDescent="0.35">
      <c r="B30" s="14"/>
      <c r="C30" s="8"/>
      <c r="D30" s="8" t="str">
        <f>D8</f>
        <v>Consulting costs in primary activities</v>
      </c>
      <c r="E30" s="1">
        <f t="shared" ref="E30:E32" si="4">SUM(F30:P30)</f>
        <v>0</v>
      </c>
      <c r="F30" s="2"/>
      <c r="G30" s="2"/>
      <c r="H30" s="2"/>
      <c r="I30" s="2"/>
      <c r="J30" s="2"/>
      <c r="K30" s="2"/>
      <c r="L30" s="2"/>
      <c r="M30" s="2"/>
      <c r="N30" s="2"/>
      <c r="O30" s="2"/>
      <c r="P30" s="2"/>
      <c r="Q30" s="13"/>
      <c r="S30" s="27"/>
      <c r="V30" s="7"/>
      <c r="W30" s="8">
        <v>8</v>
      </c>
      <c r="X30" s="2"/>
      <c r="Y30" s="2"/>
      <c r="Z30" s="7"/>
    </row>
    <row r="31" spans="1:26" x14ac:dyDescent="0.35">
      <c r="B31" s="14"/>
      <c r="C31" s="8"/>
      <c r="D31" s="8" t="str">
        <f>D9</f>
        <v>Purchase of equipment and materials</v>
      </c>
      <c r="E31" s="1">
        <f t="shared" si="4"/>
        <v>0</v>
      </c>
      <c r="F31" s="2"/>
      <c r="G31" s="2"/>
      <c r="H31" s="2"/>
      <c r="I31" s="2"/>
      <c r="J31" s="2"/>
      <c r="K31" s="2"/>
      <c r="L31" s="2"/>
      <c r="M31" s="2"/>
      <c r="N31" s="2"/>
      <c r="O31" s="2"/>
      <c r="P31" s="2"/>
      <c r="Q31" s="13"/>
      <c r="S31" s="27"/>
      <c r="V31" s="7"/>
      <c r="W31" s="8">
        <v>9</v>
      </c>
      <c r="X31" s="2"/>
      <c r="Y31" s="2"/>
      <c r="Z31" s="7"/>
    </row>
    <row r="32" spans="1:26" x14ac:dyDescent="0.35">
      <c r="B32" s="14"/>
      <c r="C32" s="8"/>
      <c r="D32" s="8" t="str">
        <f>D10</f>
        <v>Other purchase</v>
      </c>
      <c r="E32" s="1">
        <f t="shared" si="4"/>
        <v>0</v>
      </c>
      <c r="F32" s="2"/>
      <c r="G32" s="2"/>
      <c r="H32" s="2"/>
      <c r="I32" s="2"/>
      <c r="J32" s="2"/>
      <c r="K32" s="2"/>
      <c r="L32" s="2"/>
      <c r="M32" s="2"/>
      <c r="N32" s="2"/>
      <c r="O32" s="2"/>
      <c r="P32" s="2"/>
      <c r="Q32" s="13"/>
      <c r="S32" s="27"/>
      <c r="V32" s="7"/>
      <c r="W32" s="7"/>
      <c r="X32" s="7"/>
      <c r="Y32" s="7"/>
      <c r="Z32" s="7"/>
    </row>
    <row r="33" spans="2:19" x14ac:dyDescent="0.35">
      <c r="B33" s="54" t="b" cm="1">
        <f t="array" ref="B33">SUMPRODUCT(--(F34:P39&lt;&gt;""))&lt;&gt;0</f>
        <v>1</v>
      </c>
      <c r="C33" s="15" t="str">
        <f>C11</f>
        <v>Digital and tech activities costs</v>
      </c>
      <c r="D33" s="8"/>
      <c r="E33" s="8"/>
      <c r="F33" s="8"/>
      <c r="G33" s="8"/>
      <c r="H33" s="8"/>
      <c r="I33" s="8"/>
      <c r="J33" s="8"/>
      <c r="K33" s="8"/>
      <c r="L33" s="8"/>
      <c r="M33" s="8"/>
      <c r="N33" s="8"/>
      <c r="O33" s="8"/>
      <c r="P33" s="8"/>
      <c r="Q33" s="13"/>
      <c r="S33" s="27"/>
    </row>
    <row r="34" spans="2:19" x14ac:dyDescent="0.35">
      <c r="B34" s="14"/>
      <c r="C34" s="8"/>
      <c r="D34" s="8" t="str">
        <f t="shared" ref="D34:D39" si="5">D12</f>
        <v>Cyber security</v>
      </c>
      <c r="E34" s="1">
        <f t="shared" ref="E34:E39" si="6">SUM(F34:P34)</f>
        <v>0</v>
      </c>
      <c r="F34" s="2"/>
      <c r="G34" s="2"/>
      <c r="H34" s="2"/>
      <c r="I34" s="2"/>
      <c r="J34" s="2"/>
      <c r="K34" s="2"/>
      <c r="L34" s="2"/>
      <c r="M34" s="2"/>
      <c r="N34" s="2"/>
      <c r="O34" s="2"/>
      <c r="P34" s="2"/>
      <c r="Q34" s="13"/>
      <c r="S34" s="27"/>
    </row>
    <row r="35" spans="2:19" x14ac:dyDescent="0.35">
      <c r="B35" s="14"/>
      <c r="C35" s="8"/>
      <c r="D35" s="8" t="str">
        <f t="shared" si="5"/>
        <v>Digital infrastucture (network, data center, Iaas, PaaS)</v>
      </c>
      <c r="E35" s="1">
        <f t="shared" si="6"/>
        <v>0</v>
      </c>
      <c r="F35" s="2"/>
      <c r="G35" s="2"/>
      <c r="H35" s="2"/>
      <c r="I35" s="2"/>
      <c r="J35" s="2"/>
      <c r="K35" s="2"/>
      <c r="L35" s="2"/>
      <c r="M35" s="2"/>
      <c r="N35" s="2"/>
      <c r="O35" s="2"/>
      <c r="P35" s="2"/>
      <c r="Q35" s="13"/>
      <c r="S35" s="27"/>
    </row>
    <row r="36" spans="2:19" x14ac:dyDescent="0.35">
      <c r="B36" s="14"/>
      <c r="C36" s="8"/>
      <c r="D36" s="8" t="str">
        <f t="shared" si="5"/>
        <v>Digital work environment (workstation, printing, phone)</v>
      </c>
      <c r="E36" s="1">
        <f t="shared" si="6"/>
        <v>0</v>
      </c>
      <c r="F36" s="2"/>
      <c r="G36" s="2"/>
      <c r="H36" s="2"/>
      <c r="I36" s="2"/>
      <c r="J36" s="2"/>
      <c r="K36" s="2"/>
      <c r="L36" s="2"/>
      <c r="M36" s="2"/>
      <c r="N36" s="2"/>
      <c r="O36" s="2"/>
      <c r="P36" s="2"/>
      <c r="Q36" s="13"/>
      <c r="S36" s="27"/>
    </row>
    <row r="37" spans="2:19" x14ac:dyDescent="0.35">
      <c r="B37" s="14"/>
      <c r="C37" s="8"/>
      <c r="D37" s="8" t="str">
        <f t="shared" si="5"/>
        <v>Other digital equipment</v>
      </c>
      <c r="E37" s="1">
        <f t="shared" si="6"/>
        <v>0</v>
      </c>
      <c r="F37" s="2"/>
      <c r="G37" s="2"/>
      <c r="H37" s="2"/>
      <c r="I37" s="2"/>
      <c r="J37" s="2"/>
      <c r="K37" s="2"/>
      <c r="L37" s="2"/>
      <c r="M37" s="2"/>
      <c r="N37" s="2"/>
      <c r="O37" s="2"/>
      <c r="P37" s="2"/>
      <c r="Q37" s="13"/>
      <c r="S37" s="27"/>
    </row>
    <row r="38" spans="2:19" x14ac:dyDescent="0.35">
      <c r="B38" s="14"/>
      <c r="C38" s="8"/>
      <c r="D38" s="8" t="str">
        <f t="shared" si="5"/>
        <v>Digitaaliset applications and software (information systems, developer tools)</v>
      </c>
      <c r="E38" s="1">
        <f t="shared" si="6"/>
        <v>3</v>
      </c>
      <c r="F38" s="2"/>
      <c r="G38" s="2"/>
      <c r="H38" s="2">
        <v>1</v>
      </c>
      <c r="I38" s="2">
        <v>1</v>
      </c>
      <c r="J38" s="2">
        <v>1</v>
      </c>
      <c r="K38" s="2"/>
      <c r="L38" s="2"/>
      <c r="M38" s="2"/>
      <c r="N38" s="2"/>
      <c r="O38" s="2"/>
      <c r="P38" s="2"/>
      <c r="Q38" s="13"/>
      <c r="S38" s="27"/>
    </row>
    <row r="39" spans="2:19" x14ac:dyDescent="0.35">
      <c r="B39" s="14"/>
      <c r="C39" s="8"/>
      <c r="D39" s="8" t="str">
        <f t="shared" si="5"/>
        <v>Software development (consulting, …)</v>
      </c>
      <c r="E39" s="1">
        <f t="shared" si="6"/>
        <v>2</v>
      </c>
      <c r="F39" s="2">
        <v>1</v>
      </c>
      <c r="G39" s="2">
        <v>1</v>
      </c>
      <c r="H39" s="2"/>
      <c r="I39" s="2"/>
      <c r="J39" s="2"/>
      <c r="K39" s="2"/>
      <c r="L39" s="2"/>
      <c r="M39" s="2"/>
      <c r="N39" s="2"/>
      <c r="O39" s="2"/>
      <c r="P39" s="2"/>
      <c r="Q39" s="13"/>
      <c r="S39" s="27"/>
    </row>
    <row r="40" spans="2:19" x14ac:dyDescent="0.35">
      <c r="B40" s="54" t="b" cm="1">
        <f t="array" ref="B40">SUMPRODUCT(--(F41:P43&lt;&gt;""))&lt;&gt;0</f>
        <v>1</v>
      </c>
      <c r="C40" s="15" t="str">
        <f>C18</f>
        <v>Supportive and deployment costs</v>
      </c>
      <c r="D40" s="8"/>
      <c r="E40" s="8"/>
      <c r="F40" s="8"/>
      <c r="G40" s="8"/>
      <c r="H40" s="8"/>
      <c r="I40" s="8"/>
      <c r="J40" s="8"/>
      <c r="K40" s="8"/>
      <c r="L40" s="8"/>
      <c r="M40" s="8"/>
      <c r="N40" s="8"/>
      <c r="O40" s="8"/>
      <c r="P40" s="8"/>
      <c r="Q40" s="13"/>
      <c r="S40" s="28"/>
    </row>
    <row r="41" spans="2:19" x14ac:dyDescent="0.35">
      <c r="B41" s="14"/>
      <c r="C41" s="8"/>
      <c r="D41" s="8" t="str">
        <f>D19</f>
        <v>Service desk and other similar supporting costs</v>
      </c>
      <c r="E41" s="1">
        <f t="shared" ref="E41:E43" si="7">SUM(F41:P41)</f>
        <v>0</v>
      </c>
      <c r="F41" s="2"/>
      <c r="G41" s="2"/>
      <c r="H41" s="2"/>
      <c r="I41" s="2"/>
      <c r="J41" s="2"/>
      <c r="K41" s="2"/>
      <c r="L41" s="2"/>
      <c r="M41" s="2"/>
      <c r="N41" s="2"/>
      <c r="O41" s="2"/>
      <c r="P41" s="2"/>
      <c r="Q41" s="13"/>
      <c r="S41" s="28"/>
    </row>
    <row r="42" spans="2:19" x14ac:dyDescent="0.35">
      <c r="B42" s="14"/>
      <c r="C42" s="8"/>
      <c r="D42" s="8" t="str">
        <f>D20</f>
        <v>Learning and education</v>
      </c>
      <c r="E42" s="1">
        <f t="shared" si="7"/>
        <v>1</v>
      </c>
      <c r="F42" s="2"/>
      <c r="G42" s="2">
        <v>1</v>
      </c>
      <c r="H42" s="2"/>
      <c r="I42" s="2"/>
      <c r="J42" s="2"/>
      <c r="K42" s="2"/>
      <c r="L42" s="2"/>
      <c r="M42" s="2"/>
      <c r="N42" s="2"/>
      <c r="O42" s="2"/>
      <c r="P42" s="2"/>
      <c r="Q42" s="13"/>
      <c r="S42" s="28"/>
    </row>
    <row r="43" spans="2:19" ht="15" thickBot="1" x14ac:dyDescent="0.4">
      <c r="B43" s="14"/>
      <c r="C43" s="8"/>
      <c r="D43" s="8" t="str">
        <f>D21</f>
        <v>Administrative costs (e.g. project management)</v>
      </c>
      <c r="E43" s="31">
        <f t="shared" si="7"/>
        <v>2</v>
      </c>
      <c r="F43" s="45">
        <v>1</v>
      </c>
      <c r="G43" s="45">
        <v>1</v>
      </c>
      <c r="H43" s="45"/>
      <c r="I43" s="45"/>
      <c r="J43" s="45"/>
      <c r="K43" s="45"/>
      <c r="L43" s="45"/>
      <c r="M43" s="45"/>
      <c r="N43" s="45"/>
      <c r="O43" s="45"/>
      <c r="P43" s="45"/>
      <c r="Q43" s="13"/>
      <c r="S43" s="28"/>
    </row>
    <row r="44" spans="2:19" ht="15" thickTop="1" x14ac:dyDescent="0.35">
      <c r="B44" s="14"/>
      <c r="C44" s="15" t="s">
        <v>145</v>
      </c>
      <c r="D44" s="15"/>
      <c r="E44" s="32">
        <f t="shared" ref="E44:P44" si="8">SUM(E30:E32,E34:E39,E41:E43)</f>
        <v>8</v>
      </c>
      <c r="F44" s="32">
        <f t="shared" si="8"/>
        <v>2</v>
      </c>
      <c r="G44" s="32">
        <f t="shared" si="8"/>
        <v>3</v>
      </c>
      <c r="H44" s="32">
        <f t="shared" si="8"/>
        <v>1</v>
      </c>
      <c r="I44" s="32">
        <f t="shared" si="8"/>
        <v>1</v>
      </c>
      <c r="J44" s="32">
        <f t="shared" si="8"/>
        <v>1</v>
      </c>
      <c r="K44" s="32">
        <f t="shared" si="8"/>
        <v>0</v>
      </c>
      <c r="L44" s="32">
        <f t="shared" si="8"/>
        <v>0</v>
      </c>
      <c r="M44" s="32">
        <f t="shared" si="8"/>
        <v>0</v>
      </c>
      <c r="N44" s="32">
        <f t="shared" si="8"/>
        <v>0</v>
      </c>
      <c r="O44" s="32">
        <f t="shared" si="8"/>
        <v>0</v>
      </c>
      <c r="P44" s="32">
        <f t="shared" si="8"/>
        <v>0</v>
      </c>
      <c r="Q44" s="13"/>
      <c r="S44" s="28"/>
    </row>
    <row r="45" spans="2:19" x14ac:dyDescent="0.35">
      <c r="B45" s="14"/>
      <c r="C45" s="15"/>
      <c r="D45" s="35" t="str">
        <f>D23</f>
        <v>Discounted</v>
      </c>
      <c r="E45" s="82">
        <f>SUM(F45:P45)</f>
        <v>8</v>
      </c>
      <c r="F45" s="82">
        <f>F44/(1+'Viability comparison'!$D$6)^0</f>
        <v>2</v>
      </c>
      <c r="G45" s="82">
        <f>G44/(1+'Viability comparison'!$D$6)^1</f>
        <v>3</v>
      </c>
      <c r="H45" s="82">
        <f>H44/(1+'Viability comparison'!$D$6)^2</f>
        <v>1</v>
      </c>
      <c r="I45" s="82">
        <f>I44/(1+'Viability comparison'!$D$6)^3</f>
        <v>1</v>
      </c>
      <c r="J45" s="82">
        <f>J44/(1+'Viability comparison'!$D$6)^4</f>
        <v>1</v>
      </c>
      <c r="K45" s="82">
        <f>K44/(1+'Viability comparison'!$D$6)^5</f>
        <v>0</v>
      </c>
      <c r="L45" s="82">
        <f>L44/(1+'Viability comparison'!$D$6)^6</f>
        <v>0</v>
      </c>
      <c r="M45" s="82">
        <f>M44/(1+'Viability comparison'!$D$6)^7</f>
        <v>0</v>
      </c>
      <c r="N45" s="82">
        <f>N44/(1+'Viability comparison'!$D$6)^8</f>
        <v>0</v>
      </c>
      <c r="O45" s="82">
        <f>O44/(1+'Viability comparison'!$D$6)^9</f>
        <v>0</v>
      </c>
      <c r="P45" s="82">
        <f>P44/(1+'Viability comparison'!$D$6)^10</f>
        <v>0</v>
      </c>
      <c r="Q45" s="13"/>
      <c r="S45" s="43"/>
    </row>
    <row r="46" spans="2:19" x14ac:dyDescent="0.35">
      <c r="B46" s="14"/>
      <c r="C46" s="15"/>
      <c r="D46" s="15"/>
      <c r="E46" s="15"/>
      <c r="F46" s="15"/>
      <c r="G46" s="15"/>
      <c r="H46" s="15"/>
      <c r="I46" s="15"/>
      <c r="J46" s="15"/>
      <c r="K46" s="15"/>
      <c r="L46" s="15"/>
      <c r="M46" s="15"/>
      <c r="N46" s="15"/>
      <c r="O46" s="15"/>
      <c r="P46" s="15"/>
      <c r="Q46" s="13"/>
      <c r="S46" s="43"/>
    </row>
    <row r="47" spans="2:19" x14ac:dyDescent="0.35">
      <c r="B47" s="14"/>
      <c r="C47" s="15" t="str">
        <f>C25</f>
        <v>Residual value (present value)</v>
      </c>
      <c r="D47" s="15"/>
      <c r="E47" s="44">
        <f>E25</f>
        <v>0</v>
      </c>
      <c r="F47" s="15"/>
      <c r="G47" s="15"/>
      <c r="H47" s="15"/>
      <c r="I47" s="15"/>
      <c r="J47" s="15"/>
      <c r="K47" s="15"/>
      <c r="L47" s="15"/>
      <c r="M47" s="15"/>
      <c r="N47" s="15"/>
      <c r="O47" s="15"/>
      <c r="P47" s="15"/>
      <c r="Q47" s="13"/>
      <c r="S47" s="43"/>
    </row>
    <row r="48" spans="2:19" ht="15" thickBot="1" x14ac:dyDescent="0.4">
      <c r="B48" s="16"/>
      <c r="C48" s="17"/>
      <c r="D48" s="17"/>
      <c r="E48" s="17"/>
      <c r="F48" s="17"/>
      <c r="G48" s="17"/>
      <c r="H48" s="17"/>
      <c r="I48" s="17"/>
      <c r="J48" s="17"/>
      <c r="K48" s="17"/>
      <c r="L48" s="17"/>
      <c r="M48" s="17"/>
      <c r="N48" s="17"/>
      <c r="O48" s="17"/>
      <c r="P48" s="17"/>
      <c r="Q48" s="18"/>
      <c r="S48" s="26"/>
    </row>
    <row r="49" spans="1:19" ht="15" thickBot="1" x14ac:dyDescent="0.4">
      <c r="A49" s="55" t="b">
        <f>(B51+B55+B63)&lt;&gt;0</f>
        <v>1</v>
      </c>
    </row>
    <row r="50" spans="1:19" x14ac:dyDescent="0.35">
      <c r="B50" s="19" t="s">
        <v>133</v>
      </c>
      <c r="C50" s="36"/>
      <c r="D50" s="20"/>
      <c r="E50" s="20"/>
      <c r="F50" s="20"/>
      <c r="G50" s="20"/>
      <c r="H50" s="20"/>
      <c r="I50" s="20"/>
      <c r="J50" s="20"/>
      <c r="K50" s="20"/>
      <c r="L50" s="20"/>
      <c r="M50" s="20"/>
      <c r="N50" s="20"/>
      <c r="O50" s="20"/>
      <c r="P50" s="20"/>
      <c r="Q50" s="21"/>
      <c r="S50" s="30"/>
    </row>
    <row r="51" spans="1:19" x14ac:dyDescent="0.35">
      <c r="B51" s="54" t="b" cm="1">
        <f t="array" ref="B51">SUMPRODUCT(--(F52:P54&lt;&gt;""))&lt;&gt;0</f>
        <v>0</v>
      </c>
      <c r="C51" s="15" t="s">
        <v>134</v>
      </c>
      <c r="D51" s="8"/>
      <c r="E51" s="8"/>
      <c r="F51" s="8"/>
      <c r="G51" s="8"/>
      <c r="H51" s="8"/>
      <c r="I51" s="8"/>
      <c r="J51" s="8"/>
      <c r="K51" s="8"/>
      <c r="L51" s="8"/>
      <c r="M51" s="8"/>
      <c r="N51" s="8"/>
      <c r="O51" s="8"/>
      <c r="P51" s="8"/>
      <c r="Q51" s="13"/>
      <c r="S51" s="27"/>
    </row>
    <row r="52" spans="1:19" x14ac:dyDescent="0.35">
      <c r="B52" s="14"/>
      <c r="C52" s="15"/>
      <c r="D52" s="8" t="s">
        <v>157</v>
      </c>
      <c r="E52" s="1">
        <f t="shared" ref="E52:E66" si="9">SUM(F52:P52)</f>
        <v>0</v>
      </c>
      <c r="F52" s="2"/>
      <c r="G52" s="2"/>
      <c r="H52" s="2"/>
      <c r="I52" s="2"/>
      <c r="J52" s="2"/>
      <c r="K52" s="2"/>
      <c r="L52" s="2"/>
      <c r="M52" s="2"/>
      <c r="N52" s="2"/>
      <c r="O52" s="2"/>
      <c r="P52" s="2"/>
      <c r="Q52" s="13"/>
      <c r="S52" s="27"/>
    </row>
    <row r="53" spans="1:19" x14ac:dyDescent="0.35">
      <c r="B53" s="14"/>
      <c r="C53" s="8"/>
      <c r="D53" s="8" t="s">
        <v>135</v>
      </c>
      <c r="E53" s="1">
        <f t="shared" si="9"/>
        <v>0</v>
      </c>
      <c r="F53" s="2"/>
      <c r="G53" s="2"/>
      <c r="H53" s="2"/>
      <c r="I53" s="2"/>
      <c r="J53" s="2"/>
      <c r="K53" s="2"/>
      <c r="L53" s="2"/>
      <c r="M53" s="2"/>
      <c r="N53" s="2"/>
      <c r="O53" s="2"/>
      <c r="P53" s="2"/>
      <c r="Q53" s="13"/>
      <c r="S53" s="28"/>
    </row>
    <row r="54" spans="1:19" x14ac:dyDescent="0.35">
      <c r="B54" s="14"/>
      <c r="C54" s="8"/>
      <c r="D54" s="8" t="s">
        <v>136</v>
      </c>
      <c r="E54" s="1">
        <f t="shared" si="9"/>
        <v>0</v>
      </c>
      <c r="F54" s="2"/>
      <c r="G54" s="2"/>
      <c r="H54" s="2"/>
      <c r="I54" s="2"/>
      <c r="J54" s="2"/>
      <c r="K54" s="2"/>
      <c r="L54" s="2"/>
      <c r="M54" s="2"/>
      <c r="N54" s="2"/>
      <c r="O54" s="2"/>
      <c r="P54" s="2"/>
      <c r="Q54" s="13"/>
      <c r="S54" s="28"/>
    </row>
    <row r="55" spans="1:19" x14ac:dyDescent="0.35">
      <c r="B55" s="54" t="b" cm="1">
        <f t="array" ref="B55">SUMPRODUCT(--(F56:P62&lt;&gt;""))&lt;&gt;0</f>
        <v>1</v>
      </c>
      <c r="C55" s="15" t="s">
        <v>137</v>
      </c>
      <c r="D55" s="8"/>
      <c r="E55" s="8"/>
      <c r="F55" s="8"/>
      <c r="G55" s="8"/>
      <c r="H55" s="8"/>
      <c r="I55" s="8"/>
      <c r="J55" s="8"/>
      <c r="K55" s="8"/>
      <c r="L55" s="8"/>
      <c r="M55" s="8"/>
      <c r="N55" s="8"/>
      <c r="O55" s="8"/>
      <c r="P55" s="8"/>
      <c r="Q55" s="13"/>
      <c r="S55" s="28"/>
    </row>
    <row r="56" spans="1:19" x14ac:dyDescent="0.35">
      <c r="B56" s="14"/>
      <c r="C56" s="15"/>
      <c r="D56" s="8" t="s">
        <v>158</v>
      </c>
      <c r="E56" s="1">
        <f t="shared" si="9"/>
        <v>0</v>
      </c>
      <c r="F56" s="2"/>
      <c r="G56" s="2"/>
      <c r="H56" s="2"/>
      <c r="I56" s="2"/>
      <c r="J56" s="2"/>
      <c r="K56" s="2"/>
      <c r="L56" s="2"/>
      <c r="M56" s="2"/>
      <c r="N56" s="2"/>
      <c r="O56" s="2"/>
      <c r="P56" s="2"/>
      <c r="Q56" s="13"/>
      <c r="S56" s="28"/>
    </row>
    <row r="57" spans="1:19" x14ac:dyDescent="0.35">
      <c r="B57" s="14"/>
      <c r="C57" s="8"/>
      <c r="D57" s="8" t="s">
        <v>138</v>
      </c>
      <c r="E57" s="1">
        <f t="shared" si="9"/>
        <v>0</v>
      </c>
      <c r="F57" s="2"/>
      <c r="G57" s="2"/>
      <c r="H57" s="2"/>
      <c r="I57" s="2"/>
      <c r="J57" s="2"/>
      <c r="K57" s="2"/>
      <c r="L57" s="2"/>
      <c r="M57" s="2"/>
      <c r="N57" s="2"/>
      <c r="O57" s="2"/>
      <c r="P57" s="2"/>
      <c r="Q57" s="13"/>
      <c r="S57" s="28"/>
    </row>
    <row r="58" spans="1:19" x14ac:dyDescent="0.35">
      <c r="B58" s="14"/>
      <c r="C58" s="8"/>
      <c r="D58" s="8" t="s">
        <v>139</v>
      </c>
      <c r="E58" s="1">
        <f t="shared" si="9"/>
        <v>0</v>
      </c>
      <c r="F58" s="2"/>
      <c r="G58" s="2"/>
      <c r="H58" s="2"/>
      <c r="I58" s="2"/>
      <c r="J58" s="2"/>
      <c r="K58" s="2"/>
      <c r="L58" s="2"/>
      <c r="M58" s="2"/>
      <c r="N58" s="2"/>
      <c r="O58" s="2"/>
      <c r="P58" s="2"/>
      <c r="Q58" s="13"/>
      <c r="S58" s="28"/>
    </row>
    <row r="59" spans="1:19" x14ac:dyDescent="0.35">
      <c r="B59" s="14"/>
      <c r="C59" s="8"/>
      <c r="D59" s="8" t="s">
        <v>140</v>
      </c>
      <c r="E59" s="1">
        <f t="shared" si="9"/>
        <v>0</v>
      </c>
      <c r="F59" s="2"/>
      <c r="G59" s="2"/>
      <c r="H59" s="2"/>
      <c r="I59" s="2"/>
      <c r="J59" s="2"/>
      <c r="K59" s="2"/>
      <c r="L59" s="2"/>
      <c r="M59" s="2"/>
      <c r="N59" s="2"/>
      <c r="O59" s="2"/>
      <c r="P59" s="2"/>
      <c r="Q59" s="13"/>
      <c r="S59" s="28"/>
    </row>
    <row r="60" spans="1:19" x14ac:dyDescent="0.35">
      <c r="B60" s="14"/>
      <c r="C60" s="8"/>
      <c r="D60" s="8" t="s">
        <v>141</v>
      </c>
      <c r="E60" s="1">
        <f t="shared" si="9"/>
        <v>0</v>
      </c>
      <c r="F60" s="2"/>
      <c r="G60" s="2"/>
      <c r="H60" s="2"/>
      <c r="I60" s="2"/>
      <c r="J60" s="2"/>
      <c r="K60" s="2"/>
      <c r="L60" s="2"/>
      <c r="M60" s="2"/>
      <c r="N60" s="2"/>
      <c r="O60" s="2"/>
      <c r="P60" s="2"/>
      <c r="Q60" s="13"/>
      <c r="S60" s="28"/>
    </row>
    <row r="61" spans="1:19" x14ac:dyDescent="0.35">
      <c r="B61" s="14"/>
      <c r="C61" s="8"/>
      <c r="D61" s="8" t="s">
        <v>171</v>
      </c>
      <c r="E61" s="1">
        <f t="shared" si="9"/>
        <v>9</v>
      </c>
      <c r="F61" s="2"/>
      <c r="G61" s="2"/>
      <c r="H61" s="2">
        <v>1</v>
      </c>
      <c r="I61" s="2">
        <v>1</v>
      </c>
      <c r="J61" s="2">
        <v>1</v>
      </c>
      <c r="K61" s="2">
        <v>1</v>
      </c>
      <c r="L61" s="2">
        <v>1</v>
      </c>
      <c r="M61" s="2">
        <v>1</v>
      </c>
      <c r="N61" s="2">
        <v>1</v>
      </c>
      <c r="O61" s="2">
        <v>1</v>
      </c>
      <c r="P61" s="2">
        <v>1</v>
      </c>
      <c r="Q61" s="13"/>
      <c r="S61" s="28"/>
    </row>
    <row r="62" spans="1:19" x14ac:dyDescent="0.35">
      <c r="B62" s="14"/>
      <c r="C62" s="8"/>
      <c r="D62" s="8" t="s">
        <v>142</v>
      </c>
      <c r="E62" s="1">
        <f t="shared" si="9"/>
        <v>9</v>
      </c>
      <c r="F62" s="2"/>
      <c r="G62" s="2"/>
      <c r="H62" s="2">
        <v>1</v>
      </c>
      <c r="I62" s="2">
        <v>1</v>
      </c>
      <c r="J62" s="2">
        <v>1</v>
      </c>
      <c r="K62" s="2">
        <v>1</v>
      </c>
      <c r="L62" s="2">
        <v>1</v>
      </c>
      <c r="M62" s="2">
        <v>1</v>
      </c>
      <c r="N62" s="2">
        <v>1</v>
      </c>
      <c r="O62" s="2">
        <v>1</v>
      </c>
      <c r="P62" s="2">
        <v>1</v>
      </c>
      <c r="Q62" s="13"/>
      <c r="S62" s="28"/>
    </row>
    <row r="63" spans="1:19" x14ac:dyDescent="0.35">
      <c r="B63" s="54" t="b" cm="1">
        <f t="array" ref="B63">SUMPRODUCT(--(F64:P66&lt;&gt;""))&lt;&gt;0</f>
        <v>1</v>
      </c>
      <c r="C63" s="15" t="s">
        <v>143</v>
      </c>
      <c r="D63" s="8"/>
      <c r="E63" s="8"/>
      <c r="F63" s="8"/>
      <c r="G63" s="8"/>
      <c r="H63" s="8"/>
      <c r="I63" s="8"/>
      <c r="J63" s="8"/>
      <c r="K63" s="8"/>
      <c r="L63" s="8"/>
      <c r="M63" s="8"/>
      <c r="N63" s="8"/>
      <c r="O63" s="8"/>
      <c r="P63" s="8"/>
      <c r="Q63" s="13"/>
      <c r="S63" s="28"/>
    </row>
    <row r="64" spans="1:19" x14ac:dyDescent="0.35">
      <c r="B64" s="14"/>
      <c r="C64" s="8"/>
      <c r="D64" s="8" t="s">
        <v>126</v>
      </c>
      <c r="E64" s="1">
        <f t="shared" si="9"/>
        <v>9</v>
      </c>
      <c r="F64" s="2"/>
      <c r="G64" s="2"/>
      <c r="H64" s="2">
        <v>1</v>
      </c>
      <c r="I64" s="2">
        <v>1</v>
      </c>
      <c r="J64" s="2">
        <v>1</v>
      </c>
      <c r="K64" s="2">
        <v>1</v>
      </c>
      <c r="L64" s="2">
        <v>1</v>
      </c>
      <c r="M64" s="2">
        <v>1</v>
      </c>
      <c r="N64" s="2">
        <v>1</v>
      </c>
      <c r="O64" s="2">
        <v>1</v>
      </c>
      <c r="P64" s="2">
        <v>1</v>
      </c>
      <c r="Q64" s="13"/>
      <c r="S64" s="28"/>
    </row>
    <row r="65" spans="1:19" x14ac:dyDescent="0.35">
      <c r="B65" s="14"/>
      <c r="C65" s="8"/>
      <c r="D65" s="8" t="s">
        <v>127</v>
      </c>
      <c r="E65" s="1">
        <f t="shared" si="9"/>
        <v>9</v>
      </c>
      <c r="F65" s="2"/>
      <c r="G65" s="2"/>
      <c r="H65" s="2">
        <v>1</v>
      </c>
      <c r="I65" s="2">
        <v>1</v>
      </c>
      <c r="J65" s="2">
        <v>1</v>
      </c>
      <c r="K65" s="2">
        <v>1</v>
      </c>
      <c r="L65" s="2">
        <v>1</v>
      </c>
      <c r="M65" s="2">
        <v>1</v>
      </c>
      <c r="N65" s="2">
        <v>1</v>
      </c>
      <c r="O65" s="2">
        <v>1</v>
      </c>
      <c r="P65" s="2">
        <v>1</v>
      </c>
      <c r="Q65" s="13"/>
      <c r="S65" s="28"/>
    </row>
    <row r="66" spans="1:19" ht="15" thickBot="1" x14ac:dyDescent="0.4">
      <c r="B66" s="14"/>
      <c r="C66" s="8"/>
      <c r="D66" s="8" t="s">
        <v>156</v>
      </c>
      <c r="E66" s="31">
        <f t="shared" si="9"/>
        <v>0</v>
      </c>
      <c r="F66" s="45"/>
      <c r="G66" s="45"/>
      <c r="H66" s="45"/>
      <c r="I66" s="45"/>
      <c r="J66" s="45"/>
      <c r="K66" s="45"/>
      <c r="L66" s="45"/>
      <c r="M66" s="45"/>
      <c r="N66" s="45"/>
      <c r="O66" s="45"/>
      <c r="P66" s="45"/>
      <c r="Q66" s="13"/>
      <c r="S66" s="28"/>
    </row>
    <row r="67" spans="1:19" ht="15" thickTop="1" x14ac:dyDescent="0.35">
      <c r="B67" s="14"/>
      <c r="C67" s="15" t="s">
        <v>144</v>
      </c>
      <c r="D67" s="15"/>
      <c r="E67" s="83">
        <f t="shared" ref="E67:P67" si="10">SUM(E52:E54,E56:E62,E64:E66)</f>
        <v>36</v>
      </c>
      <c r="F67" s="83">
        <f t="shared" si="10"/>
        <v>0</v>
      </c>
      <c r="G67" s="83">
        <f t="shared" si="10"/>
        <v>0</v>
      </c>
      <c r="H67" s="83">
        <f t="shared" si="10"/>
        <v>4</v>
      </c>
      <c r="I67" s="83">
        <f t="shared" si="10"/>
        <v>4</v>
      </c>
      <c r="J67" s="83">
        <f t="shared" si="10"/>
        <v>4</v>
      </c>
      <c r="K67" s="83">
        <f t="shared" si="10"/>
        <v>4</v>
      </c>
      <c r="L67" s="83">
        <f t="shared" si="10"/>
        <v>4</v>
      </c>
      <c r="M67" s="83">
        <f t="shared" si="10"/>
        <v>4</v>
      </c>
      <c r="N67" s="83">
        <f t="shared" si="10"/>
        <v>4</v>
      </c>
      <c r="O67" s="83">
        <f t="shared" si="10"/>
        <v>4</v>
      </c>
      <c r="P67" s="83">
        <f t="shared" si="10"/>
        <v>4</v>
      </c>
      <c r="Q67" s="13"/>
      <c r="S67" s="28"/>
    </row>
    <row r="68" spans="1:19" x14ac:dyDescent="0.35">
      <c r="B68" s="14"/>
      <c r="C68" s="8"/>
      <c r="D68" s="35" t="s">
        <v>1</v>
      </c>
      <c r="E68" s="82">
        <f>SUM(F68:P68)</f>
        <v>36</v>
      </c>
      <c r="F68" s="82">
        <f>F67/(1+'Viability comparison'!$D$6)^0</f>
        <v>0</v>
      </c>
      <c r="G68" s="82">
        <f>G67/(1+'Viability comparison'!$D$6)^1</f>
        <v>0</v>
      </c>
      <c r="H68" s="82">
        <f>H67/(1+'Viability comparison'!$D$6)^2</f>
        <v>4</v>
      </c>
      <c r="I68" s="82">
        <f>I67/(1+'Viability comparison'!$D$6)^3</f>
        <v>4</v>
      </c>
      <c r="J68" s="82">
        <f>J67/(1+'Viability comparison'!$D$6)^4</f>
        <v>4</v>
      </c>
      <c r="K68" s="82">
        <f>K67/(1+'Viability comparison'!$D$6)^5</f>
        <v>4</v>
      </c>
      <c r="L68" s="82">
        <f>L67/(1+'Viability comparison'!$D$6)^6</f>
        <v>4</v>
      </c>
      <c r="M68" s="82">
        <f>M67/(1+'Viability comparison'!$D$6)^7</f>
        <v>4</v>
      </c>
      <c r="N68" s="82">
        <f>N67/(1+'Viability comparison'!$D$6)^8</f>
        <v>4</v>
      </c>
      <c r="O68" s="82">
        <f>O67/(1+'Viability comparison'!$D$6)^9</f>
        <v>4</v>
      </c>
      <c r="P68" s="82">
        <f>P67/(1+'Viability comparison'!$D$6)^10</f>
        <v>4</v>
      </c>
      <c r="Q68" s="13"/>
      <c r="S68" s="43"/>
    </row>
    <row r="69" spans="1:19" x14ac:dyDescent="0.35">
      <c r="B69" s="14"/>
      <c r="C69" s="8"/>
      <c r="D69" s="35" t="s">
        <v>2</v>
      </c>
      <c r="E69" s="82">
        <f>SUM(F69:P69)</f>
        <v>36</v>
      </c>
      <c r="F69" s="82">
        <f>F67 / (1+'Viability comparison'!$D$18)^0</f>
        <v>0</v>
      </c>
      <c r="G69" s="82">
        <f>G67 / (1+'Viability comparison'!$D$18)^1</f>
        <v>0</v>
      </c>
      <c r="H69" s="82">
        <f>H67 / (1+'Viability comparison'!$D$18)^2</f>
        <v>4</v>
      </c>
      <c r="I69" s="82">
        <f>I67 / (1+'Viability comparison'!$D$18)^3</f>
        <v>4</v>
      </c>
      <c r="J69" s="82">
        <f>J67 / (1+'Viability comparison'!$D$18)^4</f>
        <v>4</v>
      </c>
      <c r="K69" s="82">
        <f>K67 / (1+'Viability comparison'!$D$18)^5</f>
        <v>4</v>
      </c>
      <c r="L69" s="82">
        <f>L67 / (1+'Viability comparison'!$D$18)^6</f>
        <v>4</v>
      </c>
      <c r="M69" s="82">
        <f>M67 / (1+'Viability comparison'!$D$18)^7</f>
        <v>4</v>
      </c>
      <c r="N69" s="82">
        <f>N67 / (1+'Viability comparison'!$D$18)^8</f>
        <v>4</v>
      </c>
      <c r="O69" s="82">
        <f>O67 / (1+'Viability comparison'!$D$18)^9</f>
        <v>4</v>
      </c>
      <c r="P69" s="82">
        <f>P67 / (1+'Viability comparison'!$D$18)^10</f>
        <v>4</v>
      </c>
      <c r="Q69" s="13"/>
      <c r="S69" s="43"/>
    </row>
    <row r="70" spans="1:19" ht="15" thickBot="1" x14ac:dyDescent="0.4">
      <c r="B70" s="16"/>
      <c r="C70" s="17"/>
      <c r="D70" s="17"/>
      <c r="E70" s="17"/>
      <c r="F70" s="17"/>
      <c r="G70" s="17"/>
      <c r="H70" s="17"/>
      <c r="I70" s="17"/>
      <c r="J70" s="17"/>
      <c r="K70" s="17"/>
      <c r="L70" s="17"/>
      <c r="M70" s="17"/>
      <c r="N70" s="17"/>
      <c r="O70" s="17"/>
      <c r="P70" s="17"/>
      <c r="Q70" s="18"/>
      <c r="S70" s="26"/>
    </row>
    <row r="71" spans="1:19" ht="15" thickBot="1" x14ac:dyDescent="0.4"/>
    <row r="72" spans="1:19" ht="15" thickBot="1" x14ac:dyDescent="0.4">
      <c r="B72" s="22" t="s">
        <v>146</v>
      </c>
      <c r="C72" s="33"/>
      <c r="D72" s="23"/>
      <c r="E72" s="33">
        <f t="shared" ref="E72:P72" si="11">SUM(E22,E67)</f>
        <v>44</v>
      </c>
      <c r="F72" s="33">
        <f t="shared" si="11"/>
        <v>2</v>
      </c>
      <c r="G72" s="33">
        <f t="shared" si="11"/>
        <v>6</v>
      </c>
      <c r="H72" s="33">
        <f t="shared" si="11"/>
        <v>4</v>
      </c>
      <c r="I72" s="33">
        <f t="shared" si="11"/>
        <v>4</v>
      </c>
      <c r="J72" s="33">
        <f t="shared" si="11"/>
        <v>4</v>
      </c>
      <c r="K72" s="33">
        <f t="shared" si="11"/>
        <v>4</v>
      </c>
      <c r="L72" s="33">
        <f t="shared" si="11"/>
        <v>4</v>
      </c>
      <c r="M72" s="33">
        <f t="shared" si="11"/>
        <v>4</v>
      </c>
      <c r="N72" s="33">
        <f t="shared" si="11"/>
        <v>4</v>
      </c>
      <c r="O72" s="33">
        <f t="shared" si="11"/>
        <v>4</v>
      </c>
      <c r="P72" s="33">
        <f t="shared" si="11"/>
        <v>4</v>
      </c>
      <c r="Q72" s="24"/>
    </row>
    <row r="73" spans="1:19" ht="15" thickBot="1" x14ac:dyDescent="0.4">
      <c r="B73" s="22" t="s">
        <v>147</v>
      </c>
      <c r="C73" s="33"/>
      <c r="D73" s="23"/>
      <c r="E73" s="33">
        <f t="shared" ref="E73:P73" si="12">SUM(E44,E70)</f>
        <v>8</v>
      </c>
      <c r="F73" s="33">
        <f t="shared" si="12"/>
        <v>2</v>
      </c>
      <c r="G73" s="33">
        <f t="shared" si="12"/>
        <v>3</v>
      </c>
      <c r="H73" s="33">
        <f t="shared" si="12"/>
        <v>1</v>
      </c>
      <c r="I73" s="33">
        <f t="shared" si="12"/>
        <v>1</v>
      </c>
      <c r="J73" s="33">
        <f t="shared" si="12"/>
        <v>1</v>
      </c>
      <c r="K73" s="33">
        <f t="shared" si="12"/>
        <v>0</v>
      </c>
      <c r="L73" s="33">
        <f t="shared" si="12"/>
        <v>0</v>
      </c>
      <c r="M73" s="33">
        <f t="shared" si="12"/>
        <v>0</v>
      </c>
      <c r="N73" s="33">
        <f t="shared" si="12"/>
        <v>0</v>
      </c>
      <c r="O73" s="33">
        <f t="shared" si="12"/>
        <v>0</v>
      </c>
      <c r="P73" s="33">
        <f t="shared" si="12"/>
        <v>0</v>
      </c>
      <c r="Q73" s="24"/>
    </row>
    <row r="74" spans="1:19" ht="15" thickBot="1" x14ac:dyDescent="0.4">
      <c r="A74" s="55" t="b">
        <f>(B76+B81+B85+B89+B97+B101)&lt;&gt;0</f>
        <v>1</v>
      </c>
    </row>
    <row r="75" spans="1:19" x14ac:dyDescent="0.35">
      <c r="B75" s="19" t="s">
        <v>148</v>
      </c>
      <c r="C75" s="36"/>
      <c r="D75" s="20"/>
      <c r="E75" s="20"/>
      <c r="F75" s="20"/>
      <c r="G75" s="20"/>
      <c r="H75" s="20"/>
      <c r="I75" s="20"/>
      <c r="J75" s="20"/>
      <c r="K75" s="20"/>
      <c r="L75" s="20"/>
      <c r="M75" s="20"/>
      <c r="N75" s="20"/>
      <c r="O75" s="20"/>
      <c r="P75" s="20"/>
      <c r="Q75" s="21"/>
      <c r="S75" s="30"/>
    </row>
    <row r="76" spans="1:19" x14ac:dyDescent="0.35">
      <c r="B76" s="54" t="b" cm="1">
        <f t="array" ref="B76">SUMPRODUCT(--(F77:P80&lt;&gt;""))&lt;&gt;0</f>
        <v>0</v>
      </c>
      <c r="C76" s="15" t="s">
        <v>149</v>
      </c>
      <c r="D76" s="8"/>
      <c r="E76" s="8"/>
      <c r="F76" s="8"/>
      <c r="G76" s="8"/>
      <c r="H76" s="8"/>
      <c r="I76" s="8"/>
      <c r="J76" s="8"/>
      <c r="K76" s="8"/>
      <c r="L76" s="8"/>
      <c r="M76" s="8"/>
      <c r="N76" s="8"/>
      <c r="O76" s="8"/>
      <c r="P76" s="8"/>
      <c r="Q76" s="13"/>
      <c r="S76" s="27"/>
    </row>
    <row r="77" spans="1:19" x14ac:dyDescent="0.35">
      <c r="B77" s="14"/>
      <c r="C77" s="8"/>
      <c r="D77" s="8" t="s">
        <v>150</v>
      </c>
      <c r="E77" s="1">
        <f t="shared" ref="E77:E103" si="13">SUM(F77:P77)</f>
        <v>0</v>
      </c>
      <c r="F77" s="2"/>
      <c r="G77" s="2"/>
      <c r="H77" s="2"/>
      <c r="I77" s="2"/>
      <c r="J77" s="2"/>
      <c r="K77" s="2"/>
      <c r="L77" s="2"/>
      <c r="M77" s="2"/>
      <c r="N77" s="2"/>
      <c r="O77" s="2"/>
      <c r="P77" s="2"/>
      <c r="Q77" s="13"/>
      <c r="S77" s="28"/>
    </row>
    <row r="78" spans="1:19" x14ac:dyDescent="0.35">
      <c r="B78" s="14"/>
      <c r="C78" s="8"/>
      <c r="D78" s="8" t="s">
        <v>151</v>
      </c>
      <c r="E78" s="1">
        <f>SUM(F78:P78)</f>
        <v>0</v>
      </c>
      <c r="F78" s="2"/>
      <c r="G78" s="2"/>
      <c r="H78" s="2"/>
      <c r="I78" s="2"/>
      <c r="J78" s="2"/>
      <c r="K78" s="2"/>
      <c r="L78" s="2"/>
      <c r="M78" s="2"/>
      <c r="N78" s="2"/>
      <c r="O78" s="2"/>
      <c r="P78" s="2"/>
      <c r="Q78" s="13"/>
      <c r="S78" s="28"/>
    </row>
    <row r="79" spans="1:19" x14ac:dyDescent="0.35">
      <c r="B79" s="14"/>
      <c r="C79" s="8"/>
      <c r="D79" s="8" t="s">
        <v>153</v>
      </c>
      <c r="E79" s="1">
        <f t="shared" si="13"/>
        <v>0</v>
      </c>
      <c r="F79" s="2"/>
      <c r="G79" s="2"/>
      <c r="H79" s="2"/>
      <c r="I79" s="2"/>
      <c r="J79" s="2"/>
      <c r="K79" s="2"/>
      <c r="L79" s="2"/>
      <c r="M79" s="2"/>
      <c r="N79" s="2"/>
      <c r="O79" s="2"/>
      <c r="P79" s="2"/>
      <c r="Q79" s="13"/>
      <c r="S79" s="28"/>
    </row>
    <row r="80" spans="1:19" x14ac:dyDescent="0.35">
      <c r="B80" s="14"/>
      <c r="C80" s="8"/>
      <c r="D80" s="8" t="s">
        <v>152</v>
      </c>
      <c r="E80" s="1">
        <f t="shared" si="13"/>
        <v>0</v>
      </c>
      <c r="F80" s="2"/>
      <c r="G80" s="2"/>
      <c r="H80" s="2"/>
      <c r="I80" s="2"/>
      <c r="J80" s="2"/>
      <c r="K80" s="2"/>
      <c r="L80" s="2"/>
      <c r="M80" s="2"/>
      <c r="N80" s="2"/>
      <c r="O80" s="2"/>
      <c r="P80" s="2"/>
      <c r="Q80" s="13"/>
      <c r="S80" s="28"/>
    </row>
    <row r="81" spans="2:19" x14ac:dyDescent="0.35">
      <c r="B81" s="54" t="b" cm="1">
        <f t="array" ref="B81">SUMPRODUCT(--(F82:P84&lt;&gt;""))&lt;&gt;0</f>
        <v>1</v>
      </c>
      <c r="C81" s="15" t="s">
        <v>154</v>
      </c>
      <c r="D81" s="8"/>
      <c r="E81" s="8"/>
      <c r="F81" s="8"/>
      <c r="G81" s="8"/>
      <c r="H81" s="8"/>
      <c r="I81" s="8"/>
      <c r="J81" s="8"/>
      <c r="K81" s="8"/>
      <c r="L81" s="8"/>
      <c r="M81" s="8"/>
      <c r="N81" s="8"/>
      <c r="O81" s="8"/>
      <c r="P81" s="8"/>
      <c r="Q81" s="13"/>
      <c r="S81" s="28"/>
    </row>
    <row r="82" spans="2:19" x14ac:dyDescent="0.35">
      <c r="B82" s="14"/>
      <c r="C82" s="8"/>
      <c r="D82" s="8" t="s">
        <v>155</v>
      </c>
      <c r="E82" s="1">
        <f t="shared" si="13"/>
        <v>27</v>
      </c>
      <c r="F82" s="2"/>
      <c r="G82" s="2"/>
      <c r="H82" s="2">
        <v>3</v>
      </c>
      <c r="I82" s="2">
        <v>3</v>
      </c>
      <c r="J82" s="2">
        <v>3</v>
      </c>
      <c r="K82" s="2">
        <v>3</v>
      </c>
      <c r="L82" s="2">
        <v>3</v>
      </c>
      <c r="M82" s="2">
        <v>3</v>
      </c>
      <c r="N82" s="2">
        <v>3</v>
      </c>
      <c r="O82" s="2">
        <v>3</v>
      </c>
      <c r="P82" s="2">
        <v>3</v>
      </c>
      <c r="Q82" s="13"/>
      <c r="S82" s="28"/>
    </row>
    <row r="83" spans="2:19" x14ac:dyDescent="0.35">
      <c r="B83" s="14"/>
      <c r="C83" s="8"/>
      <c r="D83" s="8" t="s">
        <v>159</v>
      </c>
      <c r="E83" s="1">
        <f t="shared" si="13"/>
        <v>0</v>
      </c>
      <c r="F83" s="2"/>
      <c r="G83" s="2"/>
      <c r="H83" s="2"/>
      <c r="I83" s="2"/>
      <c r="J83" s="2"/>
      <c r="K83" s="2"/>
      <c r="L83" s="2"/>
      <c r="M83" s="2"/>
      <c r="N83" s="2"/>
      <c r="O83" s="2"/>
      <c r="P83" s="2"/>
      <c r="Q83" s="13"/>
      <c r="S83" s="28"/>
    </row>
    <row r="84" spans="2:19" x14ac:dyDescent="0.35">
      <c r="B84" s="14"/>
      <c r="C84" s="8"/>
      <c r="D84" s="8" t="s">
        <v>160</v>
      </c>
      <c r="E84" s="1">
        <f t="shared" si="13"/>
        <v>0</v>
      </c>
      <c r="F84" s="2"/>
      <c r="G84" s="2"/>
      <c r="H84" s="2"/>
      <c r="I84" s="2"/>
      <c r="J84" s="2"/>
      <c r="K84" s="2"/>
      <c r="L84" s="2"/>
      <c r="M84" s="2"/>
      <c r="N84" s="2"/>
      <c r="O84" s="2"/>
      <c r="P84" s="2"/>
      <c r="Q84" s="13"/>
      <c r="S84" s="28"/>
    </row>
    <row r="85" spans="2:19" x14ac:dyDescent="0.35">
      <c r="B85" s="54" t="b" cm="1">
        <f t="array" ref="B85">SUMPRODUCT(--(F86:P88&lt;&gt;""))&lt;&gt;0</f>
        <v>1</v>
      </c>
      <c r="C85" s="15" t="s">
        <v>161</v>
      </c>
      <c r="D85" s="8"/>
      <c r="E85" s="8"/>
      <c r="F85" s="8"/>
      <c r="G85" s="8"/>
      <c r="H85" s="8"/>
      <c r="I85" s="8"/>
      <c r="J85" s="8"/>
      <c r="K85" s="8"/>
      <c r="L85" s="8"/>
      <c r="M85" s="8"/>
      <c r="N85" s="8"/>
      <c r="O85" s="8"/>
      <c r="P85" s="8"/>
      <c r="Q85" s="13"/>
      <c r="S85" s="28"/>
    </row>
    <row r="86" spans="2:19" x14ac:dyDescent="0.35">
      <c r="B86" s="14"/>
      <c r="C86" s="8"/>
      <c r="D86" s="8" t="s">
        <v>162</v>
      </c>
      <c r="E86" s="1">
        <f t="shared" si="13"/>
        <v>0</v>
      </c>
      <c r="F86" s="2"/>
      <c r="G86" s="2"/>
      <c r="H86" s="2"/>
      <c r="I86" s="2"/>
      <c r="J86" s="2"/>
      <c r="K86" s="2"/>
      <c r="L86" s="2"/>
      <c r="M86" s="2"/>
      <c r="N86" s="2"/>
      <c r="O86" s="2"/>
      <c r="P86" s="2"/>
      <c r="Q86" s="13"/>
      <c r="S86" s="28"/>
    </row>
    <row r="87" spans="2:19" x14ac:dyDescent="0.35">
      <c r="B87" s="14"/>
      <c r="C87" s="8"/>
      <c r="D87" s="8" t="s">
        <v>163</v>
      </c>
      <c r="E87" s="1">
        <f t="shared" si="13"/>
        <v>1</v>
      </c>
      <c r="F87" s="2"/>
      <c r="G87" s="2"/>
      <c r="H87" s="2"/>
      <c r="I87" s="2">
        <v>1</v>
      </c>
      <c r="J87" s="2"/>
      <c r="K87" s="2"/>
      <c r="L87" s="2"/>
      <c r="M87" s="2"/>
      <c r="N87" s="2"/>
      <c r="O87" s="2"/>
      <c r="P87" s="2"/>
      <c r="Q87" s="13"/>
      <c r="S87" s="28"/>
    </row>
    <row r="88" spans="2:19" x14ac:dyDescent="0.35">
      <c r="B88" s="14"/>
      <c r="C88" s="8"/>
      <c r="D88" s="8" t="s">
        <v>164</v>
      </c>
      <c r="E88" s="1">
        <f t="shared" si="13"/>
        <v>0</v>
      </c>
      <c r="F88" s="2"/>
      <c r="G88" s="2"/>
      <c r="H88" s="2"/>
      <c r="I88" s="2"/>
      <c r="J88" s="2"/>
      <c r="K88" s="2"/>
      <c r="L88" s="2"/>
      <c r="M88" s="2"/>
      <c r="N88" s="2"/>
      <c r="O88" s="2"/>
      <c r="P88" s="2"/>
      <c r="Q88" s="13"/>
      <c r="S88" s="28"/>
    </row>
    <row r="89" spans="2:19" x14ac:dyDescent="0.35">
      <c r="B89" s="54" t="b" cm="1">
        <f t="array" ref="B89">SUMPRODUCT(--(F90:P96&lt;&gt;""))&lt;&gt;0</f>
        <v>1</v>
      </c>
      <c r="C89" s="15" t="s">
        <v>165</v>
      </c>
      <c r="D89" s="8"/>
      <c r="E89" s="8"/>
      <c r="F89" s="8"/>
      <c r="G89" s="8"/>
      <c r="H89" s="8"/>
      <c r="I89" s="8"/>
      <c r="J89" s="8"/>
      <c r="K89" s="8"/>
      <c r="L89" s="8"/>
      <c r="M89" s="8"/>
      <c r="N89" s="8"/>
      <c r="O89" s="8"/>
      <c r="P89" s="8"/>
      <c r="Q89" s="13"/>
      <c r="S89" s="28"/>
    </row>
    <row r="90" spans="2:19" x14ac:dyDescent="0.35">
      <c r="B90" s="14"/>
      <c r="C90" s="15"/>
      <c r="D90" s="8" t="s">
        <v>166</v>
      </c>
      <c r="E90" s="1">
        <f t="shared" si="13"/>
        <v>0</v>
      </c>
      <c r="F90" s="2"/>
      <c r="G90" s="2"/>
      <c r="H90" s="2"/>
      <c r="I90" s="2"/>
      <c r="J90" s="2"/>
      <c r="K90" s="2"/>
      <c r="L90" s="2"/>
      <c r="M90" s="2"/>
      <c r="N90" s="2"/>
      <c r="O90" s="2"/>
      <c r="P90" s="2"/>
      <c r="Q90" s="13"/>
      <c r="S90" s="28"/>
    </row>
    <row r="91" spans="2:19" x14ac:dyDescent="0.35">
      <c r="B91" s="14"/>
      <c r="C91" s="15"/>
      <c r="D91" s="8" t="s">
        <v>167</v>
      </c>
      <c r="E91" s="1">
        <f t="shared" si="13"/>
        <v>0</v>
      </c>
      <c r="F91" s="2"/>
      <c r="G91" s="2"/>
      <c r="H91" s="2"/>
      <c r="I91" s="2"/>
      <c r="J91" s="2"/>
      <c r="K91" s="2"/>
      <c r="L91" s="2"/>
      <c r="M91" s="2"/>
      <c r="N91" s="2"/>
      <c r="O91" s="2"/>
      <c r="P91" s="2"/>
      <c r="Q91" s="13"/>
      <c r="S91" s="28"/>
    </row>
    <row r="92" spans="2:19" x14ac:dyDescent="0.35">
      <c r="B92" s="14"/>
      <c r="C92" s="15"/>
      <c r="D92" s="8" t="s">
        <v>168</v>
      </c>
      <c r="E92" s="1">
        <f t="shared" si="13"/>
        <v>0</v>
      </c>
      <c r="F92" s="2"/>
      <c r="G92" s="2"/>
      <c r="H92" s="2"/>
      <c r="I92" s="2"/>
      <c r="J92" s="2"/>
      <c r="K92" s="2"/>
      <c r="L92" s="2"/>
      <c r="M92" s="2"/>
      <c r="N92" s="2"/>
      <c r="O92" s="2"/>
      <c r="P92" s="2"/>
      <c r="Q92" s="13"/>
      <c r="S92" s="28"/>
    </row>
    <row r="93" spans="2:19" x14ac:dyDescent="0.35">
      <c r="B93" s="14"/>
      <c r="C93" s="15"/>
      <c r="D93" s="8" t="s">
        <v>170</v>
      </c>
      <c r="E93" s="1">
        <f t="shared" si="13"/>
        <v>0</v>
      </c>
      <c r="F93" s="2"/>
      <c r="G93" s="2"/>
      <c r="H93" s="2"/>
      <c r="I93" s="2"/>
      <c r="J93" s="2"/>
      <c r="K93" s="2"/>
      <c r="L93" s="2"/>
      <c r="M93" s="2"/>
      <c r="N93" s="2"/>
      <c r="O93" s="2"/>
      <c r="P93" s="2"/>
      <c r="Q93" s="13"/>
      <c r="S93" s="28"/>
    </row>
    <row r="94" spans="2:19" x14ac:dyDescent="0.35">
      <c r="B94" s="14"/>
      <c r="C94" s="8"/>
      <c r="D94" s="8" t="s">
        <v>173</v>
      </c>
      <c r="E94" s="1">
        <f t="shared" si="13"/>
        <v>8</v>
      </c>
      <c r="F94" s="2"/>
      <c r="G94" s="2"/>
      <c r="H94" s="2"/>
      <c r="I94" s="2">
        <v>1</v>
      </c>
      <c r="J94" s="2">
        <v>1</v>
      </c>
      <c r="K94" s="2">
        <v>1</v>
      </c>
      <c r="L94" s="2">
        <v>1</v>
      </c>
      <c r="M94" s="2">
        <v>1</v>
      </c>
      <c r="N94" s="2">
        <v>1</v>
      </c>
      <c r="O94" s="2">
        <v>1</v>
      </c>
      <c r="P94" s="2">
        <v>1</v>
      </c>
      <c r="Q94" s="13"/>
      <c r="S94" s="28"/>
    </row>
    <row r="95" spans="2:19" x14ac:dyDescent="0.35">
      <c r="B95" s="14"/>
      <c r="C95" s="8"/>
      <c r="D95" s="8"/>
      <c r="E95" s="1">
        <f t="shared" si="13"/>
        <v>0</v>
      </c>
      <c r="F95" s="2"/>
      <c r="G95" s="2"/>
      <c r="H95" s="2"/>
      <c r="I95" s="2"/>
      <c r="J95" s="2"/>
      <c r="K95" s="2"/>
      <c r="L95" s="2"/>
      <c r="M95" s="2"/>
      <c r="N95" s="2"/>
      <c r="O95" s="2"/>
      <c r="P95" s="2"/>
      <c r="Q95" s="13"/>
      <c r="S95" s="28"/>
    </row>
    <row r="96" spans="2:19" x14ac:dyDescent="0.35">
      <c r="B96" s="14"/>
      <c r="C96" s="8"/>
      <c r="D96" s="8" t="s">
        <v>172</v>
      </c>
      <c r="E96" s="1">
        <f t="shared" si="13"/>
        <v>9</v>
      </c>
      <c r="F96" s="2"/>
      <c r="G96" s="2"/>
      <c r="H96" s="2">
        <v>1</v>
      </c>
      <c r="I96" s="2">
        <v>1</v>
      </c>
      <c r="J96" s="2">
        <v>1</v>
      </c>
      <c r="K96" s="2">
        <v>1</v>
      </c>
      <c r="L96" s="2">
        <v>1</v>
      </c>
      <c r="M96" s="2">
        <v>1</v>
      </c>
      <c r="N96" s="2">
        <v>1</v>
      </c>
      <c r="O96" s="2">
        <v>1</v>
      </c>
      <c r="P96" s="2">
        <v>1</v>
      </c>
      <c r="Q96" s="13"/>
      <c r="S96" s="28"/>
    </row>
    <row r="97" spans="1:19" x14ac:dyDescent="0.35">
      <c r="B97" s="54" t="b" cm="1">
        <f t="array" ref="B97">SUMPRODUCT(--(F98:P100&lt;&gt;""))&lt;&gt;0</f>
        <v>0</v>
      </c>
      <c r="C97" s="15" t="s">
        <v>174</v>
      </c>
      <c r="D97" s="8"/>
      <c r="E97" s="8"/>
      <c r="F97" s="8"/>
      <c r="G97" s="8"/>
      <c r="H97" s="8"/>
      <c r="I97" s="8"/>
      <c r="J97" s="8"/>
      <c r="K97" s="8"/>
      <c r="L97" s="8"/>
      <c r="M97" s="8"/>
      <c r="N97" s="8"/>
      <c r="O97" s="8"/>
      <c r="P97" s="8"/>
      <c r="Q97" s="13"/>
      <c r="S97" s="28"/>
    </row>
    <row r="98" spans="1:19" x14ac:dyDescent="0.35">
      <c r="B98" s="14"/>
      <c r="C98" s="15"/>
      <c r="D98" s="8" t="s">
        <v>175</v>
      </c>
      <c r="E98" s="1">
        <f t="shared" si="13"/>
        <v>0</v>
      </c>
      <c r="F98" s="2"/>
      <c r="G98" s="2"/>
      <c r="H98" s="2"/>
      <c r="I98" s="2"/>
      <c r="J98" s="2"/>
      <c r="K98" s="2"/>
      <c r="L98" s="2"/>
      <c r="M98" s="2"/>
      <c r="N98" s="2"/>
      <c r="O98" s="2"/>
      <c r="P98" s="2"/>
      <c r="Q98" s="13"/>
      <c r="S98" s="28"/>
    </row>
    <row r="99" spans="1:19" x14ac:dyDescent="0.35">
      <c r="B99" s="14"/>
      <c r="C99" s="15"/>
      <c r="D99" s="8" t="s">
        <v>176</v>
      </c>
      <c r="E99" s="1">
        <f t="shared" si="13"/>
        <v>0</v>
      </c>
      <c r="F99" s="2"/>
      <c r="G99" s="2"/>
      <c r="H99" s="2"/>
      <c r="I99" s="2"/>
      <c r="J99" s="2"/>
      <c r="K99" s="2"/>
      <c r="L99" s="2"/>
      <c r="M99" s="2"/>
      <c r="N99" s="2"/>
      <c r="O99" s="2"/>
      <c r="P99" s="2"/>
      <c r="Q99" s="13"/>
      <c r="S99" s="28"/>
    </row>
    <row r="100" spans="1:19" x14ac:dyDescent="0.35">
      <c r="B100" s="14"/>
      <c r="C100" s="15"/>
      <c r="D100" s="8" t="s">
        <v>177</v>
      </c>
      <c r="E100" s="1">
        <f t="shared" si="13"/>
        <v>0</v>
      </c>
      <c r="F100" s="2"/>
      <c r="G100" s="2"/>
      <c r="H100" s="2"/>
      <c r="I100" s="2"/>
      <c r="J100" s="2"/>
      <c r="K100" s="2"/>
      <c r="L100" s="2"/>
      <c r="M100" s="2"/>
      <c r="N100" s="2"/>
      <c r="O100" s="2"/>
      <c r="P100" s="2"/>
      <c r="Q100" s="13"/>
      <c r="S100" s="28"/>
    </row>
    <row r="101" spans="1:19" x14ac:dyDescent="0.35">
      <c r="B101" s="54" t="b" cm="1">
        <f t="array" ref="B101">SUMPRODUCT(--(F102:P103&lt;&gt;""))&lt;&gt;0</f>
        <v>0</v>
      </c>
      <c r="C101" s="15" t="s">
        <v>178</v>
      </c>
      <c r="D101" s="8"/>
      <c r="E101" s="8"/>
      <c r="F101" s="8"/>
      <c r="G101" s="8"/>
      <c r="H101" s="8"/>
      <c r="I101" s="8"/>
      <c r="J101" s="8"/>
      <c r="K101" s="8"/>
      <c r="L101" s="8"/>
      <c r="M101" s="8"/>
      <c r="N101" s="8"/>
      <c r="O101" s="8"/>
      <c r="P101" s="8"/>
      <c r="Q101" s="13"/>
      <c r="S101" s="28"/>
    </row>
    <row r="102" spans="1:19" x14ac:dyDescent="0.35">
      <c r="B102" s="14"/>
      <c r="C102" s="15"/>
      <c r="D102" s="8" t="s">
        <v>179</v>
      </c>
      <c r="E102" s="1">
        <f t="shared" si="13"/>
        <v>0</v>
      </c>
      <c r="F102" s="2"/>
      <c r="G102" s="2"/>
      <c r="H102" s="2"/>
      <c r="I102" s="2"/>
      <c r="J102" s="2"/>
      <c r="K102" s="2"/>
      <c r="L102" s="2"/>
      <c r="M102" s="2"/>
      <c r="N102" s="2"/>
      <c r="O102" s="2"/>
      <c r="P102" s="2"/>
      <c r="Q102" s="13"/>
      <c r="S102" s="28"/>
    </row>
    <row r="103" spans="1:19" ht="15" thickBot="1" x14ac:dyDescent="0.4">
      <c r="B103" s="14"/>
      <c r="C103" s="8"/>
      <c r="D103" s="8" t="s">
        <v>180</v>
      </c>
      <c r="E103" s="31">
        <f t="shared" si="13"/>
        <v>0</v>
      </c>
      <c r="F103" s="45"/>
      <c r="G103" s="45"/>
      <c r="H103" s="45"/>
      <c r="I103" s="45"/>
      <c r="J103" s="45"/>
      <c r="K103" s="45"/>
      <c r="L103" s="45"/>
      <c r="M103" s="45"/>
      <c r="N103" s="45"/>
      <c r="O103" s="45"/>
      <c r="P103" s="45"/>
      <c r="Q103" s="13"/>
      <c r="S103" s="28"/>
    </row>
    <row r="104" spans="1:19" ht="15" thickTop="1" x14ac:dyDescent="0.35">
      <c r="B104" s="14"/>
      <c r="C104" s="15" t="s">
        <v>181</v>
      </c>
      <c r="D104" s="15"/>
      <c r="E104" s="32">
        <f>SUM(E77:E80,E82:E84,E86:E88,E90:E96,E98:E100,E102:E103)</f>
        <v>45</v>
      </c>
      <c r="F104" s="32">
        <f t="shared" ref="F104:P104" si="14">SUM(F77:F80,F82:F84,F86:F88,F90:F96,F98:F100,F102:F103)</f>
        <v>0</v>
      </c>
      <c r="G104" s="32">
        <f t="shared" si="14"/>
        <v>0</v>
      </c>
      <c r="H104" s="32">
        <f t="shared" si="14"/>
        <v>4</v>
      </c>
      <c r="I104" s="32">
        <f t="shared" si="14"/>
        <v>6</v>
      </c>
      <c r="J104" s="32">
        <f t="shared" si="14"/>
        <v>5</v>
      </c>
      <c r="K104" s="32">
        <f t="shared" si="14"/>
        <v>5</v>
      </c>
      <c r="L104" s="32">
        <f t="shared" si="14"/>
        <v>5</v>
      </c>
      <c r="M104" s="32">
        <f t="shared" si="14"/>
        <v>5</v>
      </c>
      <c r="N104" s="32">
        <f t="shared" si="14"/>
        <v>5</v>
      </c>
      <c r="O104" s="32">
        <f t="shared" si="14"/>
        <v>5</v>
      </c>
      <c r="P104" s="32">
        <f t="shared" si="14"/>
        <v>5</v>
      </c>
      <c r="Q104" s="13"/>
      <c r="S104" s="28"/>
    </row>
    <row r="105" spans="1:19" x14ac:dyDescent="0.35">
      <c r="B105" s="14"/>
      <c r="C105" s="15"/>
      <c r="D105" s="35" t="str">
        <f>D23</f>
        <v>Discounted</v>
      </c>
      <c r="E105" s="82">
        <f>SUM(F105:P105)</f>
        <v>45</v>
      </c>
      <c r="F105" s="82">
        <f>F104/(1+'Viability comparison'!$D$6)^0</f>
        <v>0</v>
      </c>
      <c r="G105" s="82">
        <f>G104/(1+'Viability comparison'!$D$6)^1</f>
        <v>0</v>
      </c>
      <c r="H105" s="82">
        <f>H104/(1+'Viability comparison'!$D$6)^2</f>
        <v>4</v>
      </c>
      <c r="I105" s="82">
        <f>I104/(1+'Viability comparison'!$D$6)^3</f>
        <v>6</v>
      </c>
      <c r="J105" s="82">
        <f>J104/(1+'Viability comparison'!$D$6)^4</f>
        <v>5</v>
      </c>
      <c r="K105" s="82">
        <f>K104/(1+'Viability comparison'!$D$6)^5</f>
        <v>5</v>
      </c>
      <c r="L105" s="82">
        <f>L104/(1+'Viability comparison'!$D$6)^6</f>
        <v>5</v>
      </c>
      <c r="M105" s="82">
        <f>M104/(1+'Viability comparison'!$D$6)^7</f>
        <v>5</v>
      </c>
      <c r="N105" s="82">
        <f>N104/(1+'Viability comparison'!$D$6)^8</f>
        <v>5</v>
      </c>
      <c r="O105" s="82">
        <f>O104/(1+'Viability comparison'!$D$6)^9</f>
        <v>5</v>
      </c>
      <c r="P105" s="82">
        <f>P104/(1+'Viability comparison'!$D$6)^10</f>
        <v>5</v>
      </c>
      <c r="Q105" s="13"/>
      <c r="S105" s="43"/>
    </row>
    <row r="106" spans="1:19" ht="15" thickBot="1" x14ac:dyDescent="0.4">
      <c r="B106" s="16"/>
      <c r="C106" s="17"/>
      <c r="D106" s="17"/>
      <c r="E106" s="17"/>
      <c r="F106" s="17"/>
      <c r="G106" s="17"/>
      <c r="H106" s="17"/>
      <c r="I106" s="17"/>
      <c r="J106" s="17"/>
      <c r="K106" s="17"/>
      <c r="L106" s="17"/>
      <c r="M106" s="17"/>
      <c r="N106" s="17"/>
      <c r="O106" s="17"/>
      <c r="P106" s="17"/>
      <c r="Q106" s="18"/>
      <c r="S106" s="26"/>
    </row>
    <row r="107" spans="1:19" ht="15" thickBot="1" x14ac:dyDescent="0.4">
      <c r="A107" s="55" t="b">
        <f>(B109+B112+B116+B120)&lt;&gt;0</f>
        <v>0</v>
      </c>
    </row>
    <row r="108" spans="1:19" x14ac:dyDescent="0.35">
      <c r="B108" s="19" t="s">
        <v>182</v>
      </c>
      <c r="C108" s="36"/>
      <c r="D108" s="20"/>
      <c r="E108" s="20"/>
      <c r="F108" s="20"/>
      <c r="G108" s="20"/>
      <c r="H108" s="20"/>
      <c r="I108" s="20"/>
      <c r="J108" s="20"/>
      <c r="K108" s="20"/>
      <c r="L108" s="20"/>
      <c r="M108" s="20"/>
      <c r="N108" s="20"/>
      <c r="O108" s="20"/>
      <c r="P108" s="20"/>
      <c r="Q108" s="21"/>
      <c r="S108" s="30"/>
    </row>
    <row r="109" spans="1:19" x14ac:dyDescent="0.35">
      <c r="B109" s="54" t="b" cm="1">
        <f t="array" ref="B109">SUMPRODUCT(--(F110:P111&lt;&gt;""))&lt;&gt;0</f>
        <v>0</v>
      </c>
      <c r="C109" s="15" t="s">
        <v>183</v>
      </c>
      <c r="D109" s="8"/>
      <c r="E109" s="8"/>
      <c r="F109" s="8"/>
      <c r="G109" s="8"/>
      <c r="H109" s="8"/>
      <c r="I109" s="8"/>
      <c r="J109" s="8"/>
      <c r="K109" s="8"/>
      <c r="L109" s="8"/>
      <c r="M109" s="8"/>
      <c r="N109" s="8"/>
      <c r="O109" s="8"/>
      <c r="P109" s="8"/>
      <c r="Q109" s="13"/>
      <c r="S109" s="27"/>
    </row>
    <row r="110" spans="1:19" x14ac:dyDescent="0.35">
      <c r="B110" s="14"/>
      <c r="C110" s="8"/>
      <c r="D110" s="8" t="s">
        <v>184</v>
      </c>
      <c r="E110" s="1">
        <f t="shared" ref="E110:E118" si="15">SUM(F110:P110)</f>
        <v>0</v>
      </c>
      <c r="F110" s="2"/>
      <c r="G110" s="2"/>
      <c r="H110" s="2"/>
      <c r="I110" s="2"/>
      <c r="J110" s="2"/>
      <c r="K110" s="2"/>
      <c r="L110" s="2"/>
      <c r="M110" s="2"/>
      <c r="N110" s="2"/>
      <c r="O110" s="2"/>
      <c r="P110" s="2"/>
      <c r="Q110" s="13"/>
      <c r="S110" s="28"/>
    </row>
    <row r="111" spans="1:19" x14ac:dyDescent="0.35">
      <c r="B111" s="14"/>
      <c r="C111" s="8"/>
      <c r="D111" s="8" t="s">
        <v>185</v>
      </c>
      <c r="E111" s="1">
        <f t="shared" si="15"/>
        <v>0</v>
      </c>
      <c r="F111" s="2"/>
      <c r="G111" s="2"/>
      <c r="H111" s="2"/>
      <c r="I111" s="2"/>
      <c r="J111" s="2"/>
      <c r="K111" s="2"/>
      <c r="L111" s="2"/>
      <c r="M111" s="2"/>
      <c r="N111" s="2"/>
      <c r="O111" s="2"/>
      <c r="P111" s="2"/>
      <c r="Q111" s="13"/>
      <c r="S111" s="28"/>
    </row>
    <row r="112" spans="1:19" x14ac:dyDescent="0.35">
      <c r="B112" s="54" t="b" cm="1">
        <f t="array" ref="B112">SUMPRODUCT(--(F113:P115&lt;&gt;""))&lt;&gt;0</f>
        <v>0</v>
      </c>
      <c r="C112" s="15" t="s">
        <v>186</v>
      </c>
      <c r="D112" s="8"/>
      <c r="E112" s="8"/>
      <c r="F112" s="8"/>
      <c r="G112" s="8"/>
      <c r="H112" s="8"/>
      <c r="I112" s="8"/>
      <c r="J112" s="8"/>
      <c r="K112" s="8"/>
      <c r="L112" s="8"/>
      <c r="M112" s="8"/>
      <c r="N112" s="8"/>
      <c r="O112" s="8"/>
      <c r="P112" s="8"/>
      <c r="Q112" s="13"/>
      <c r="S112" s="28"/>
    </row>
    <row r="113" spans="2:19" x14ac:dyDescent="0.35">
      <c r="B113" s="14"/>
      <c r="C113" s="15"/>
      <c r="D113" s="8" t="s">
        <v>187</v>
      </c>
      <c r="E113" s="1">
        <f t="shared" si="15"/>
        <v>0</v>
      </c>
      <c r="F113" s="2"/>
      <c r="G113" s="2"/>
      <c r="H113" s="2"/>
      <c r="I113" s="2"/>
      <c r="J113" s="2"/>
      <c r="K113" s="2"/>
      <c r="L113" s="2"/>
      <c r="M113" s="2"/>
      <c r="N113" s="2"/>
      <c r="O113" s="2"/>
      <c r="P113" s="2"/>
      <c r="Q113" s="13"/>
      <c r="S113" s="28"/>
    </row>
    <row r="114" spans="2:19" x14ac:dyDescent="0.35">
      <c r="B114" s="14"/>
      <c r="C114" s="15"/>
      <c r="D114" s="8" t="s">
        <v>188</v>
      </c>
      <c r="E114" s="1">
        <f t="shared" si="15"/>
        <v>0</v>
      </c>
      <c r="F114" s="2"/>
      <c r="G114" s="2"/>
      <c r="H114" s="2"/>
      <c r="I114" s="2"/>
      <c r="J114" s="2"/>
      <c r="K114" s="2"/>
      <c r="L114" s="2"/>
      <c r="M114" s="2"/>
      <c r="N114" s="2"/>
      <c r="O114" s="2"/>
      <c r="P114" s="2"/>
      <c r="Q114" s="13"/>
      <c r="S114" s="28"/>
    </row>
    <row r="115" spans="2:19" x14ac:dyDescent="0.35">
      <c r="B115" s="14"/>
      <c r="C115" s="15"/>
      <c r="D115" s="8" t="s">
        <v>189</v>
      </c>
      <c r="E115" s="1">
        <f t="shared" ref="E115" si="16">SUM(F115:P115)</f>
        <v>0</v>
      </c>
      <c r="F115" s="2"/>
      <c r="G115" s="2"/>
      <c r="H115" s="2"/>
      <c r="I115" s="2"/>
      <c r="J115" s="2"/>
      <c r="K115" s="2"/>
      <c r="L115" s="2"/>
      <c r="M115" s="2"/>
      <c r="N115" s="2"/>
      <c r="O115" s="2"/>
      <c r="P115" s="2"/>
      <c r="Q115" s="13"/>
      <c r="S115" s="28"/>
    </row>
    <row r="116" spans="2:19" x14ac:dyDescent="0.35">
      <c r="B116" s="54" t="b" cm="1">
        <f t="array" ref="B116">SUMPRODUCT(--(F117:P119&lt;&gt;""))&lt;&gt;0</f>
        <v>0</v>
      </c>
      <c r="C116" s="15" t="s">
        <v>190</v>
      </c>
      <c r="D116" s="8"/>
      <c r="E116" s="8"/>
      <c r="F116" s="8"/>
      <c r="G116" s="8"/>
      <c r="H116" s="8"/>
      <c r="I116" s="8"/>
      <c r="J116" s="8"/>
      <c r="K116" s="8"/>
      <c r="L116" s="8"/>
      <c r="M116" s="8"/>
      <c r="N116" s="8"/>
      <c r="O116" s="8"/>
      <c r="P116" s="8"/>
      <c r="Q116" s="13"/>
      <c r="S116" s="28"/>
    </row>
    <row r="117" spans="2:19" x14ac:dyDescent="0.35">
      <c r="B117" s="14"/>
      <c r="C117" s="15"/>
      <c r="D117" s="8" t="s">
        <v>187</v>
      </c>
      <c r="E117" s="1">
        <f t="shared" si="15"/>
        <v>0</v>
      </c>
      <c r="F117" s="2"/>
      <c r="G117" s="2"/>
      <c r="H117" s="2"/>
      <c r="I117" s="2"/>
      <c r="J117" s="2"/>
      <c r="K117" s="2"/>
      <c r="L117" s="2"/>
      <c r="M117" s="2"/>
      <c r="N117" s="2"/>
      <c r="O117" s="2"/>
      <c r="P117" s="2"/>
      <c r="Q117" s="13"/>
      <c r="S117" s="28"/>
    </row>
    <row r="118" spans="2:19" x14ac:dyDescent="0.35">
      <c r="B118" s="14"/>
      <c r="C118" s="15"/>
      <c r="D118" s="8" t="s">
        <v>188</v>
      </c>
      <c r="E118" s="1">
        <f t="shared" si="15"/>
        <v>0</v>
      </c>
      <c r="F118" s="2"/>
      <c r="G118" s="2"/>
      <c r="H118" s="2"/>
      <c r="I118" s="2"/>
      <c r="J118" s="2"/>
      <c r="K118" s="2"/>
      <c r="L118" s="2"/>
      <c r="M118" s="2"/>
      <c r="N118" s="2"/>
      <c r="O118" s="2"/>
      <c r="P118" s="2"/>
      <c r="Q118" s="13"/>
      <c r="S118" s="28"/>
    </row>
    <row r="119" spans="2:19" x14ac:dyDescent="0.35">
      <c r="B119" s="14"/>
      <c r="C119" s="15"/>
      <c r="D119" s="8" t="s">
        <v>189</v>
      </c>
      <c r="E119" s="1">
        <f t="shared" ref="E119" si="17">SUM(F119:P119)</f>
        <v>0</v>
      </c>
      <c r="F119" s="2"/>
      <c r="G119" s="2"/>
      <c r="H119" s="2"/>
      <c r="I119" s="2"/>
      <c r="J119" s="2"/>
      <c r="K119" s="2"/>
      <c r="L119" s="2"/>
      <c r="M119" s="2"/>
      <c r="N119" s="2"/>
      <c r="O119" s="2"/>
      <c r="P119" s="2"/>
      <c r="Q119" s="13"/>
      <c r="S119" s="28"/>
    </row>
    <row r="120" spans="2:19" x14ac:dyDescent="0.35">
      <c r="B120" s="54" t="b" cm="1">
        <f t="array" ref="B120">SUMPRODUCT(--(F121:P123&lt;&gt;""))&lt;&gt;0</f>
        <v>0</v>
      </c>
      <c r="C120" s="15" t="s">
        <v>191</v>
      </c>
      <c r="D120" s="8"/>
      <c r="E120" s="8"/>
      <c r="F120" s="8"/>
      <c r="G120" s="8"/>
      <c r="H120" s="8"/>
      <c r="I120" s="8"/>
      <c r="J120" s="8"/>
      <c r="K120" s="8"/>
      <c r="L120" s="8"/>
      <c r="M120" s="8"/>
      <c r="N120" s="8"/>
      <c r="O120" s="8"/>
      <c r="P120" s="8"/>
      <c r="Q120" s="13"/>
      <c r="S120" s="28"/>
    </row>
    <row r="121" spans="2:19" x14ac:dyDescent="0.35">
      <c r="B121" s="14"/>
      <c r="C121" s="15"/>
      <c r="D121" s="8" t="s">
        <v>187</v>
      </c>
      <c r="E121" s="1">
        <f t="shared" ref="E121:E123" si="18">SUM(F121:P121)</f>
        <v>0</v>
      </c>
      <c r="F121" s="2"/>
      <c r="G121" s="2"/>
      <c r="H121" s="2"/>
      <c r="I121" s="2"/>
      <c r="J121" s="2"/>
      <c r="K121" s="2"/>
      <c r="L121" s="2"/>
      <c r="M121" s="2"/>
      <c r="N121" s="2"/>
      <c r="O121" s="2"/>
      <c r="P121" s="2"/>
      <c r="Q121" s="13"/>
      <c r="S121" s="28"/>
    </row>
    <row r="122" spans="2:19" x14ac:dyDescent="0.35">
      <c r="B122" s="14"/>
      <c r="C122" s="15"/>
      <c r="D122" s="8" t="s">
        <v>188</v>
      </c>
      <c r="E122" s="1">
        <f t="shared" si="18"/>
        <v>0</v>
      </c>
      <c r="F122" s="2"/>
      <c r="G122" s="2"/>
      <c r="H122" s="2"/>
      <c r="I122" s="2"/>
      <c r="J122" s="2"/>
      <c r="K122" s="2"/>
      <c r="L122" s="2"/>
      <c r="M122" s="2"/>
      <c r="N122" s="2"/>
      <c r="O122" s="2"/>
      <c r="P122" s="2"/>
      <c r="Q122" s="13"/>
      <c r="S122" s="28"/>
    </row>
    <row r="123" spans="2:19" ht="15" thickBot="1" x14ac:dyDescent="0.4">
      <c r="B123" s="14"/>
      <c r="C123" s="15"/>
      <c r="D123" s="8" t="s">
        <v>189</v>
      </c>
      <c r="E123" s="31">
        <f t="shared" si="18"/>
        <v>0</v>
      </c>
      <c r="F123" s="45"/>
      <c r="G123" s="45"/>
      <c r="H123" s="45"/>
      <c r="I123" s="45"/>
      <c r="J123" s="45"/>
      <c r="K123" s="45"/>
      <c r="L123" s="45"/>
      <c r="M123" s="45"/>
      <c r="N123" s="45"/>
      <c r="O123" s="45"/>
      <c r="P123" s="45"/>
      <c r="Q123" s="13"/>
      <c r="S123" s="28"/>
    </row>
    <row r="124" spans="2:19" ht="15" thickTop="1" x14ac:dyDescent="0.35">
      <c r="B124" s="14"/>
      <c r="C124" s="15" t="s">
        <v>192</v>
      </c>
      <c r="D124" s="8"/>
      <c r="E124" s="32">
        <f>SUM(E110:E111,E113:E115,E117:E119,E121:E123)</f>
        <v>0</v>
      </c>
      <c r="F124" s="32">
        <f t="shared" ref="F124:P124" si="19">SUM(F110:F111,F113:F115,F117:F119,F121:F123)</f>
        <v>0</v>
      </c>
      <c r="G124" s="32">
        <f t="shared" si="19"/>
        <v>0</v>
      </c>
      <c r="H124" s="32">
        <f t="shared" si="19"/>
        <v>0</v>
      </c>
      <c r="I124" s="32">
        <f t="shared" si="19"/>
        <v>0</v>
      </c>
      <c r="J124" s="32">
        <f t="shared" si="19"/>
        <v>0</v>
      </c>
      <c r="K124" s="32">
        <f t="shared" si="19"/>
        <v>0</v>
      </c>
      <c r="L124" s="32">
        <f t="shared" si="19"/>
        <v>0</v>
      </c>
      <c r="M124" s="32">
        <f t="shared" si="19"/>
        <v>0</v>
      </c>
      <c r="N124" s="32">
        <f t="shared" si="19"/>
        <v>0</v>
      </c>
      <c r="O124" s="32">
        <f t="shared" si="19"/>
        <v>0</v>
      </c>
      <c r="P124" s="32">
        <f t="shared" si="19"/>
        <v>0</v>
      </c>
      <c r="Q124" s="13"/>
      <c r="S124" s="28"/>
    </row>
    <row r="125" spans="2:19" x14ac:dyDescent="0.35">
      <c r="B125" s="14"/>
      <c r="C125" s="15"/>
      <c r="D125" s="8" t="str">
        <f>D23</f>
        <v>Discounted</v>
      </c>
      <c r="E125" s="82">
        <f>SUM(F125:P125)</f>
        <v>0</v>
      </c>
      <c r="F125" s="82">
        <f>F124/(1+'Viability comparison'!$D$6)^0</f>
        <v>0</v>
      </c>
      <c r="G125" s="82">
        <f>G124/(1+'Viability comparison'!$D$6)^1</f>
        <v>0</v>
      </c>
      <c r="H125" s="82">
        <f>H124/(1+'Viability comparison'!$D$6)^2</f>
        <v>0</v>
      </c>
      <c r="I125" s="82">
        <f>I124/(1+'Viability comparison'!$D$6)^3</f>
        <v>0</v>
      </c>
      <c r="J125" s="82">
        <f>J124/(1+'Viability comparison'!$D$6)^4</f>
        <v>0</v>
      </c>
      <c r="K125" s="82">
        <f>K124/(1+'Viability comparison'!$D$6)^5</f>
        <v>0</v>
      </c>
      <c r="L125" s="82">
        <f>L124/(1+'Viability comparison'!$D$6)^6</f>
        <v>0</v>
      </c>
      <c r="M125" s="82">
        <f>M124/(1+'Viability comparison'!$D$6)^7</f>
        <v>0</v>
      </c>
      <c r="N125" s="82">
        <f>N124/(1+'Viability comparison'!$D$6)^8</f>
        <v>0</v>
      </c>
      <c r="O125" s="82">
        <f>O124/(1+'Viability comparison'!$D$6)^9</f>
        <v>0</v>
      </c>
      <c r="P125" s="82">
        <f>P124/(1+'Viability comparison'!$D$6)^10</f>
        <v>0</v>
      </c>
      <c r="Q125" s="13"/>
      <c r="S125" s="43"/>
    </row>
    <row r="126" spans="2:19" ht="15" thickBot="1" x14ac:dyDescent="0.4">
      <c r="B126" s="16"/>
      <c r="C126" s="17"/>
      <c r="D126" s="17"/>
      <c r="E126" s="17"/>
      <c r="F126" s="17"/>
      <c r="G126" s="17"/>
      <c r="H126" s="17"/>
      <c r="I126" s="17"/>
      <c r="J126" s="17"/>
      <c r="K126" s="17"/>
      <c r="L126" s="17"/>
      <c r="M126" s="17"/>
      <c r="N126" s="17"/>
      <c r="O126" s="17"/>
      <c r="P126" s="17"/>
      <c r="Q126" s="18"/>
      <c r="S126" s="26"/>
    </row>
    <row r="127" spans="2:19" ht="15" thickBot="1" x14ac:dyDescent="0.4"/>
    <row r="128" spans="2:19" ht="15" thickBot="1" x14ac:dyDescent="0.4">
      <c r="B128" s="22" t="s">
        <v>193</v>
      </c>
      <c r="C128" s="33"/>
      <c r="D128" s="23"/>
      <c r="E128" s="33">
        <f>SUM(E124,E104)</f>
        <v>45</v>
      </c>
      <c r="F128" s="33">
        <f t="shared" ref="F128:P128" si="20">SUM(F124,F104)</f>
        <v>0</v>
      </c>
      <c r="G128" s="33">
        <f t="shared" si="20"/>
        <v>0</v>
      </c>
      <c r="H128" s="33">
        <f t="shared" si="20"/>
        <v>4</v>
      </c>
      <c r="I128" s="33">
        <f t="shared" si="20"/>
        <v>6</v>
      </c>
      <c r="J128" s="33">
        <f t="shared" si="20"/>
        <v>5</v>
      </c>
      <c r="K128" s="33">
        <f t="shared" si="20"/>
        <v>5</v>
      </c>
      <c r="L128" s="33">
        <f t="shared" si="20"/>
        <v>5</v>
      </c>
      <c r="M128" s="33">
        <f t="shared" si="20"/>
        <v>5</v>
      </c>
      <c r="N128" s="33">
        <f t="shared" si="20"/>
        <v>5</v>
      </c>
      <c r="O128" s="33">
        <f t="shared" si="20"/>
        <v>5</v>
      </c>
      <c r="P128" s="33">
        <f t="shared" si="20"/>
        <v>5</v>
      </c>
      <c r="Q128" s="24"/>
    </row>
    <row r="129" spans="2:17" ht="15" thickBot="1" x14ac:dyDescent="0.4">
      <c r="B129" s="22" t="s">
        <v>194</v>
      </c>
      <c r="C129" s="33"/>
      <c r="D129" s="23"/>
      <c r="E129" s="58">
        <f>SUM(F129:P129)</f>
        <v>45</v>
      </c>
      <c r="F129" s="58">
        <f>F128 / (1+'Viability comparison'!$D$6)^0</f>
        <v>0</v>
      </c>
      <c r="G129" s="58">
        <f>G128 / (1+'Viability comparison'!$D$6)^1</f>
        <v>0</v>
      </c>
      <c r="H129" s="58">
        <f>H128 / (1+'Viability comparison'!$D$6)^2</f>
        <v>4</v>
      </c>
      <c r="I129" s="58">
        <f>I128 / (1+'Viability comparison'!$D$6)^3</f>
        <v>6</v>
      </c>
      <c r="J129" s="58">
        <f>J128 / (1+'Viability comparison'!$D$6)^4</f>
        <v>5</v>
      </c>
      <c r="K129" s="58">
        <f>K128 / (1+'Viability comparison'!$D$6)^5</f>
        <v>5</v>
      </c>
      <c r="L129" s="58">
        <f>L128 / (1+'Viability comparison'!$D$6)^6</f>
        <v>5</v>
      </c>
      <c r="M129" s="58">
        <f>M128 / (1+'Viability comparison'!$D$6)^7</f>
        <v>5</v>
      </c>
      <c r="N129" s="58">
        <f>N128 / (1+'Viability comparison'!$D$6)^8</f>
        <v>5</v>
      </c>
      <c r="O129" s="58">
        <f>O128 / (1+'Viability comparison'!$D$6)^9</f>
        <v>5</v>
      </c>
      <c r="P129" s="58">
        <f>P128 / (1+'Viability comparison'!$D$6)^10</f>
        <v>5</v>
      </c>
      <c r="Q129" s="24"/>
    </row>
    <row r="130" spans="2:17" ht="15" thickBot="1" x14ac:dyDescent="0.4">
      <c r="B130" s="22" t="s">
        <v>195</v>
      </c>
      <c r="C130" s="33"/>
      <c r="D130" s="23"/>
      <c r="E130" s="58">
        <f>SUM(F130:P130)</f>
        <v>45</v>
      </c>
      <c r="F130" s="58">
        <f>F128 / (1+'Viability comparison'!$D$18)^0</f>
        <v>0</v>
      </c>
      <c r="G130" s="58">
        <f>G128 / (1+'Viability comparison'!$D$18)^1</f>
        <v>0</v>
      </c>
      <c r="H130" s="58">
        <f>H128 / (1+'Viability comparison'!$D$18)^2</f>
        <v>4</v>
      </c>
      <c r="I130" s="58">
        <f>I128 / (1+'Viability comparison'!$D$18)^3</f>
        <v>6</v>
      </c>
      <c r="J130" s="58">
        <f>J128 / (1+'Viability comparison'!$D$18)^4</f>
        <v>5</v>
      </c>
      <c r="K130" s="58">
        <f>K128 / (1+'Viability comparison'!$D$18)^5</f>
        <v>5</v>
      </c>
      <c r="L130" s="58">
        <f>L128 / (1+'Viability comparison'!$D$18)^6</f>
        <v>5</v>
      </c>
      <c r="M130" s="58">
        <f>M128 / (1+'Viability comparison'!$D$18)^7</f>
        <v>5</v>
      </c>
      <c r="N130" s="58">
        <f>N128 / (1+'Viability comparison'!$D$18)^8</f>
        <v>5</v>
      </c>
      <c r="O130" s="58">
        <f>O128 / (1+'Viability comparison'!$D$18)^9</f>
        <v>5</v>
      </c>
      <c r="P130" s="58">
        <f>P128 / (1+'Viability comparison'!$D$18)^10</f>
        <v>5</v>
      </c>
      <c r="Q130" s="24"/>
    </row>
    <row r="131" spans="2:17" ht="15" thickBot="1" x14ac:dyDescent="0.4"/>
    <row r="132" spans="2:17" ht="15" thickBot="1" x14ac:dyDescent="0.4">
      <c r="B132" s="22" t="s">
        <v>196</v>
      </c>
      <c r="C132" s="33"/>
      <c r="D132" s="23"/>
      <c r="E132" s="58"/>
      <c r="F132" s="58">
        <f t="shared" ref="F132:P132" si="21">F128-F67</f>
        <v>0</v>
      </c>
      <c r="G132" s="58">
        <f t="shared" si="21"/>
        <v>0</v>
      </c>
      <c r="H132" s="58">
        <f t="shared" si="21"/>
        <v>0</v>
      </c>
      <c r="I132" s="58">
        <f t="shared" si="21"/>
        <v>2</v>
      </c>
      <c r="J132" s="58">
        <f t="shared" si="21"/>
        <v>1</v>
      </c>
      <c r="K132" s="58">
        <f t="shared" si="21"/>
        <v>1</v>
      </c>
      <c r="L132" s="58">
        <f t="shared" si="21"/>
        <v>1</v>
      </c>
      <c r="M132" s="58">
        <f t="shared" si="21"/>
        <v>1</v>
      </c>
      <c r="N132" s="58">
        <f t="shared" si="21"/>
        <v>1</v>
      </c>
      <c r="O132" s="58">
        <f t="shared" si="21"/>
        <v>1</v>
      </c>
      <c r="P132" s="58">
        <f t="shared" si="21"/>
        <v>1</v>
      </c>
      <c r="Q132" s="24"/>
    </row>
    <row r="133" spans="2:17" ht="15" thickBot="1" x14ac:dyDescent="0.4">
      <c r="B133" s="22" t="s">
        <v>194</v>
      </c>
      <c r="C133" s="33"/>
      <c r="D133" s="23"/>
      <c r="E133" s="58"/>
      <c r="F133" s="58">
        <f>F132 / (1+'Viability comparison'!$D$6)^0</f>
        <v>0</v>
      </c>
      <c r="G133" s="58">
        <f>G132 / (1+'Viability comparison'!$D$6)^1</f>
        <v>0</v>
      </c>
      <c r="H133" s="58">
        <f>H132 / (1+'Viability comparison'!$D$6)^2</f>
        <v>0</v>
      </c>
      <c r="I133" s="58">
        <f>I132 / (1+'Viability comparison'!$D$6)^3</f>
        <v>2</v>
      </c>
      <c r="J133" s="58">
        <f>J132 / (1+'Viability comparison'!$D$6)^4</f>
        <v>1</v>
      </c>
      <c r="K133" s="58">
        <f>K132 / (1+'Viability comparison'!$D$6)^5</f>
        <v>1</v>
      </c>
      <c r="L133" s="58">
        <f>L132 / (1+'Viability comparison'!$D$6)^6</f>
        <v>1</v>
      </c>
      <c r="M133" s="58">
        <f>M132 / (1+'Viability comparison'!$D$6)^7</f>
        <v>1</v>
      </c>
      <c r="N133" s="58">
        <f>N132 / (1+'Viability comparison'!$D$6)^8</f>
        <v>1</v>
      </c>
      <c r="O133" s="58">
        <f>O132 / (1+'Viability comparison'!$D$6)^9</f>
        <v>1</v>
      </c>
      <c r="P133" s="58">
        <f>P132 / (1+'Viability comparison'!$D$6)^10</f>
        <v>1</v>
      </c>
      <c r="Q133" s="24"/>
    </row>
    <row r="134" spans="2:17" ht="15" thickBot="1" x14ac:dyDescent="0.4">
      <c r="B134" s="22" t="s">
        <v>195</v>
      </c>
      <c r="C134" s="33"/>
      <c r="D134" s="23"/>
      <c r="E134" s="58"/>
      <c r="F134" s="58">
        <f>F132 / (1+'Viability comparison'!$D$18)^0</f>
        <v>0</v>
      </c>
      <c r="G134" s="58">
        <f>G132 / (1+'Viability comparison'!$D$18)^1</f>
        <v>0</v>
      </c>
      <c r="H134" s="58">
        <f>H132 / (1+'Viability comparison'!$D$18)^2</f>
        <v>0</v>
      </c>
      <c r="I134" s="58">
        <f>I132 / (1+'Viability comparison'!$D$18)^3</f>
        <v>2</v>
      </c>
      <c r="J134" s="58">
        <f>J132 / (1+'Viability comparison'!$D$18)^4</f>
        <v>1</v>
      </c>
      <c r="K134" s="58">
        <f>K132 / (1+'Viability comparison'!$D$18)^5</f>
        <v>1</v>
      </c>
      <c r="L134" s="58">
        <f>L132 / (1+'Viability comparison'!$D$18)^6</f>
        <v>1</v>
      </c>
      <c r="M134" s="58">
        <f>M132 / (1+'Viability comparison'!$D$18)^7</f>
        <v>1</v>
      </c>
      <c r="N134" s="58">
        <f>N132 / (1+'Viability comparison'!$D$18)^8</f>
        <v>1</v>
      </c>
      <c r="O134" s="58">
        <f>O132 / (1+'Viability comparison'!$D$18)^9</f>
        <v>1</v>
      </c>
      <c r="P134" s="58">
        <f>P132 / (1+'Viability comparison'!$D$18)^10</f>
        <v>1</v>
      </c>
      <c r="Q134" s="24"/>
    </row>
    <row r="136" spans="2:17" ht="15" thickBot="1" x14ac:dyDescent="0.4"/>
    <row r="137" spans="2:17" ht="15" thickBot="1" x14ac:dyDescent="0.4">
      <c r="B137" s="37" t="s">
        <v>197</v>
      </c>
      <c r="C137" s="10"/>
      <c r="D137" s="10"/>
      <c r="E137" s="10"/>
      <c r="F137" s="10">
        <f t="shared" ref="F137:P137" si="22">F5</f>
        <v>2022</v>
      </c>
      <c r="G137" s="10">
        <f t="shared" si="22"/>
        <v>2023</v>
      </c>
      <c r="H137" s="10">
        <f t="shared" si="22"/>
        <v>2024</v>
      </c>
      <c r="I137" s="10">
        <f t="shared" si="22"/>
        <v>2025</v>
      </c>
      <c r="J137" s="10">
        <f t="shared" si="22"/>
        <v>2026</v>
      </c>
      <c r="K137" s="10">
        <f t="shared" si="22"/>
        <v>2027</v>
      </c>
      <c r="L137" s="10">
        <f t="shared" si="22"/>
        <v>2028</v>
      </c>
      <c r="M137" s="10">
        <f t="shared" si="22"/>
        <v>2029</v>
      </c>
      <c r="N137" s="10">
        <f t="shared" si="22"/>
        <v>2030</v>
      </c>
      <c r="O137" s="10">
        <f t="shared" si="22"/>
        <v>2031</v>
      </c>
      <c r="P137" s="10">
        <f t="shared" si="22"/>
        <v>2032</v>
      </c>
      <c r="Q137" s="11"/>
    </row>
    <row r="138" spans="2:17" x14ac:dyDescent="0.35">
      <c r="B138" s="19" t="s">
        <v>222</v>
      </c>
      <c r="C138" s="36"/>
      <c r="D138" s="39"/>
      <c r="E138" s="36"/>
      <c r="F138" s="111">
        <f>F139</f>
        <v>-2</v>
      </c>
      <c r="G138" s="111">
        <f>F138+G139</f>
        <v>-8</v>
      </c>
      <c r="H138" s="111">
        <f t="shared" ref="H138:P138" si="23">G138+H139</f>
        <v>-8</v>
      </c>
      <c r="I138" s="111">
        <f t="shared" si="23"/>
        <v>-6</v>
      </c>
      <c r="J138" s="111">
        <f t="shared" si="23"/>
        <v>-5</v>
      </c>
      <c r="K138" s="111">
        <f t="shared" si="23"/>
        <v>-4</v>
      </c>
      <c r="L138" s="111">
        <f t="shared" si="23"/>
        <v>-3</v>
      </c>
      <c r="M138" s="111">
        <f t="shared" si="23"/>
        <v>-2</v>
      </c>
      <c r="N138" s="111">
        <f t="shared" si="23"/>
        <v>-1</v>
      </c>
      <c r="O138" s="111">
        <f t="shared" si="23"/>
        <v>0</v>
      </c>
      <c r="P138" s="111">
        <f t="shared" si="23"/>
        <v>1</v>
      </c>
      <c r="Q138" s="21"/>
    </row>
    <row r="139" spans="2:17" ht="15" thickBot="1" x14ac:dyDescent="0.4">
      <c r="B139" s="12" t="s">
        <v>223</v>
      </c>
      <c r="C139" s="15"/>
      <c r="D139" s="8"/>
      <c r="E139" s="15"/>
      <c r="F139" s="112">
        <f>F128 - F72</f>
        <v>-2</v>
      </c>
      <c r="G139" s="112">
        <f t="shared" ref="G139:P139" si="24">G128 - G72</f>
        <v>-6</v>
      </c>
      <c r="H139" s="112">
        <f t="shared" si="24"/>
        <v>0</v>
      </c>
      <c r="I139" s="112">
        <f t="shared" si="24"/>
        <v>2</v>
      </c>
      <c r="J139" s="112">
        <f t="shared" si="24"/>
        <v>1</v>
      </c>
      <c r="K139" s="112">
        <f t="shared" si="24"/>
        <v>1</v>
      </c>
      <c r="L139" s="112">
        <f t="shared" si="24"/>
        <v>1</v>
      </c>
      <c r="M139" s="112">
        <f t="shared" si="24"/>
        <v>1</v>
      </c>
      <c r="N139" s="112">
        <f t="shared" si="24"/>
        <v>1</v>
      </c>
      <c r="O139" s="112">
        <f t="shared" si="24"/>
        <v>1</v>
      </c>
      <c r="P139" s="112">
        <f t="shared" si="24"/>
        <v>1</v>
      </c>
      <c r="Q139" s="13"/>
    </row>
    <row r="140" spans="2:17" x14ac:dyDescent="0.35">
      <c r="B140" s="19" t="s">
        <v>224</v>
      </c>
      <c r="C140" s="36"/>
      <c r="D140" s="20"/>
      <c r="E140" s="36"/>
      <c r="F140" s="113">
        <f>F141</f>
        <v>-2</v>
      </c>
      <c r="G140" s="113">
        <f>F140+G141</f>
        <v>-5</v>
      </c>
      <c r="H140" s="113">
        <f t="shared" ref="H140:P140" si="25">G140+H141</f>
        <v>-2</v>
      </c>
      <c r="I140" s="113">
        <f t="shared" si="25"/>
        <v>3</v>
      </c>
      <c r="J140" s="113">
        <f t="shared" si="25"/>
        <v>7</v>
      </c>
      <c r="K140" s="113">
        <f t="shared" si="25"/>
        <v>12</v>
      </c>
      <c r="L140" s="113">
        <f t="shared" si="25"/>
        <v>17</v>
      </c>
      <c r="M140" s="113">
        <f t="shared" si="25"/>
        <v>22</v>
      </c>
      <c r="N140" s="113">
        <f t="shared" si="25"/>
        <v>27</v>
      </c>
      <c r="O140" s="113">
        <f t="shared" si="25"/>
        <v>32</v>
      </c>
      <c r="P140" s="113">
        <f t="shared" si="25"/>
        <v>37</v>
      </c>
      <c r="Q140" s="21"/>
    </row>
    <row r="141" spans="2:17" ht="15" thickBot="1" x14ac:dyDescent="0.4">
      <c r="B141" s="40" t="s">
        <v>223</v>
      </c>
      <c r="C141" s="38"/>
      <c r="D141" s="17"/>
      <c r="E141" s="38"/>
      <c r="F141" s="114">
        <f t="shared" ref="F141:P141" si="26">F128 - F73</f>
        <v>-2</v>
      </c>
      <c r="G141" s="114">
        <f t="shared" si="26"/>
        <v>-3</v>
      </c>
      <c r="H141" s="114">
        <f t="shared" si="26"/>
        <v>3</v>
      </c>
      <c r="I141" s="114">
        <f t="shared" si="26"/>
        <v>5</v>
      </c>
      <c r="J141" s="114">
        <f t="shared" si="26"/>
        <v>4</v>
      </c>
      <c r="K141" s="114">
        <f t="shared" si="26"/>
        <v>5</v>
      </c>
      <c r="L141" s="114">
        <f t="shared" si="26"/>
        <v>5</v>
      </c>
      <c r="M141" s="114">
        <f t="shared" si="26"/>
        <v>5</v>
      </c>
      <c r="N141" s="114">
        <f t="shared" si="26"/>
        <v>5</v>
      </c>
      <c r="O141" s="114">
        <f t="shared" si="26"/>
        <v>5</v>
      </c>
      <c r="P141" s="114">
        <f t="shared" si="26"/>
        <v>5</v>
      </c>
      <c r="Q141" s="18"/>
    </row>
    <row r="142" spans="2:17" ht="15" thickBot="1" x14ac:dyDescent="0.4"/>
    <row r="143" spans="2:17" ht="15" thickBot="1" x14ac:dyDescent="0.4">
      <c r="B143" s="37" t="s">
        <v>198</v>
      </c>
      <c r="C143" s="10"/>
      <c r="D143" s="10"/>
      <c r="E143" s="10"/>
      <c r="F143" s="10">
        <f t="shared" ref="F143:P143" si="27">F11</f>
        <v>0</v>
      </c>
      <c r="G143" s="10">
        <f t="shared" si="27"/>
        <v>0</v>
      </c>
      <c r="H143" s="10">
        <f t="shared" si="27"/>
        <v>0</v>
      </c>
      <c r="I143" s="10">
        <f t="shared" si="27"/>
        <v>0</v>
      </c>
      <c r="J143" s="10">
        <f t="shared" si="27"/>
        <v>0</v>
      </c>
      <c r="K143" s="10">
        <f t="shared" si="27"/>
        <v>0</v>
      </c>
      <c r="L143" s="10">
        <f t="shared" si="27"/>
        <v>0</v>
      </c>
      <c r="M143" s="10">
        <f t="shared" si="27"/>
        <v>0</v>
      </c>
      <c r="N143" s="10">
        <f t="shared" si="27"/>
        <v>0</v>
      </c>
      <c r="O143" s="10">
        <f t="shared" si="27"/>
        <v>0</v>
      </c>
      <c r="P143" s="11">
        <f t="shared" si="27"/>
        <v>0</v>
      </c>
      <c r="Q143" s="11"/>
    </row>
    <row r="144" spans="2:17" x14ac:dyDescent="0.35">
      <c r="B144" s="19" t="s">
        <v>222</v>
      </c>
      <c r="C144" s="36"/>
      <c r="D144" s="39"/>
      <c r="E144" s="115"/>
      <c r="F144" s="108">
        <f>F145</f>
        <v>-2</v>
      </c>
      <c r="G144" s="108">
        <f>F144+G145</f>
        <v>-8</v>
      </c>
      <c r="H144" s="108">
        <f t="shared" ref="H144" si="28">G144+H145</f>
        <v>-8</v>
      </c>
      <c r="I144" s="108">
        <f t="shared" ref="I144" si="29">H144+I145</f>
        <v>-6</v>
      </c>
      <c r="J144" s="108">
        <f t="shared" ref="J144" si="30">I144+J145</f>
        <v>-5</v>
      </c>
      <c r="K144" s="108">
        <f t="shared" ref="K144" si="31">J144+K145</f>
        <v>-4</v>
      </c>
      <c r="L144" s="108">
        <f t="shared" ref="L144" si="32">K144+L145</f>
        <v>-3</v>
      </c>
      <c r="M144" s="108">
        <f t="shared" ref="M144" si="33">L144+M145</f>
        <v>-2</v>
      </c>
      <c r="N144" s="108">
        <f t="shared" ref="N144" si="34">M144+N145</f>
        <v>-1</v>
      </c>
      <c r="O144" s="108">
        <f t="shared" ref="O144" si="35">N144+O145</f>
        <v>0</v>
      </c>
      <c r="P144" s="108">
        <f t="shared" ref="P144" si="36">O144+P145</f>
        <v>1</v>
      </c>
      <c r="Q144" s="21"/>
    </row>
    <row r="145" spans="2:17" ht="15" thickBot="1" x14ac:dyDescent="0.4">
      <c r="B145" s="40" t="s">
        <v>199</v>
      </c>
      <c r="C145" s="38"/>
      <c r="D145" s="17"/>
      <c r="E145" s="116"/>
      <c r="F145" s="109">
        <f>(F128 - F72) / (1+'Viability comparison'!$D$6)^0</f>
        <v>-2</v>
      </c>
      <c r="G145" s="109">
        <f>(G128 - G72) / (1+'Viability comparison'!$D$6)^1</f>
        <v>-6</v>
      </c>
      <c r="H145" s="109">
        <f>(H128 - H72) / (1+'Viability comparison'!$D$6)^2</f>
        <v>0</v>
      </c>
      <c r="I145" s="109">
        <f>(I128 - I72) / (1+'Viability comparison'!$D$6)^3</f>
        <v>2</v>
      </c>
      <c r="J145" s="109">
        <f>(J128 - J72) / (1+'Viability comparison'!$D$6)^4</f>
        <v>1</v>
      </c>
      <c r="K145" s="109">
        <f>(K128 - K72) / (1+'Viability comparison'!$D$6)^5</f>
        <v>1</v>
      </c>
      <c r="L145" s="109">
        <f>(L128 - L72) / (1+'Viability comparison'!$D$6)^6</f>
        <v>1</v>
      </c>
      <c r="M145" s="109">
        <f>(M128 - M72) / (1+'Viability comparison'!$D$6)^7</f>
        <v>1</v>
      </c>
      <c r="N145" s="109">
        <f>(N128 - N72) / (1+'Viability comparison'!$D$6)^8</f>
        <v>1</v>
      </c>
      <c r="O145" s="109">
        <f>(O128 - O72) / (1+'Viability comparison'!$D$6)^9</f>
        <v>1</v>
      </c>
      <c r="P145" s="109">
        <f>(P128 - P72) / (1+'Viability comparison'!$D$6)^10</f>
        <v>1</v>
      </c>
      <c r="Q145" s="13"/>
    </row>
    <row r="146" spans="2:17" x14ac:dyDescent="0.35">
      <c r="B146" s="12" t="s">
        <v>222</v>
      </c>
      <c r="C146" s="15"/>
      <c r="D146" s="8"/>
      <c r="E146" s="117"/>
      <c r="F146" s="110">
        <f>F147</f>
        <v>-2</v>
      </c>
      <c r="G146" s="110">
        <f>F146+G147</f>
        <v>-8</v>
      </c>
      <c r="H146" s="110">
        <f t="shared" ref="H146" si="37">G146+H147</f>
        <v>-8</v>
      </c>
      <c r="I146" s="110">
        <f t="shared" ref="I146" si="38">H146+I147</f>
        <v>-6</v>
      </c>
      <c r="J146" s="110">
        <f t="shared" ref="J146" si="39">I146+J147</f>
        <v>-5</v>
      </c>
      <c r="K146" s="110">
        <f t="shared" ref="K146" si="40">J146+K147</f>
        <v>-4</v>
      </c>
      <c r="L146" s="110">
        <f t="shared" ref="L146" si="41">K146+L147</f>
        <v>-3</v>
      </c>
      <c r="M146" s="110">
        <f t="shared" ref="M146" si="42">L146+M147</f>
        <v>-2</v>
      </c>
      <c r="N146" s="110">
        <f t="shared" ref="N146" si="43">M146+N147</f>
        <v>-1</v>
      </c>
      <c r="O146" s="110">
        <f t="shared" ref="O146" si="44">N146+O147</f>
        <v>0</v>
      </c>
      <c r="P146" s="110">
        <f t="shared" ref="P146" si="45">O146+P147</f>
        <v>1</v>
      </c>
      <c r="Q146" s="13"/>
    </row>
    <row r="147" spans="2:17" ht="15" thickBot="1" x14ac:dyDescent="0.4">
      <c r="B147" s="40" t="s">
        <v>200</v>
      </c>
      <c r="C147" s="17"/>
      <c r="D147" s="17"/>
      <c r="E147" s="116"/>
      <c r="F147" s="109">
        <f>(F128 - F72) / (1+'Viability comparison'!$D$18)^0</f>
        <v>-2</v>
      </c>
      <c r="G147" s="109">
        <f>(G128 - G72) / (1+'Viability comparison'!$D$18)^1</f>
        <v>-6</v>
      </c>
      <c r="H147" s="109">
        <f>(H128 - H72) / (1+'Viability comparison'!$D$18)^2</f>
        <v>0</v>
      </c>
      <c r="I147" s="109">
        <f>(I128 - I72) / (1+'Viability comparison'!$D$18)^3</f>
        <v>2</v>
      </c>
      <c r="J147" s="109">
        <f>(J128 - J72) / (1+'Viability comparison'!$D$18)^4</f>
        <v>1</v>
      </c>
      <c r="K147" s="109">
        <f>(K128 - K72) / (1+'Viability comparison'!$D$18)^5</f>
        <v>1</v>
      </c>
      <c r="L147" s="109">
        <f>(L128 - L72) / (1+'Viability comparison'!$D$18)^6</f>
        <v>1</v>
      </c>
      <c r="M147" s="109">
        <f>(M128 - M72) / (1+'Viability comparison'!$D$18)^7</f>
        <v>1</v>
      </c>
      <c r="N147" s="109">
        <f>(N128 - N72) / (1+'Viability comparison'!$D$18)^8</f>
        <v>1</v>
      </c>
      <c r="O147" s="109">
        <f>(O128 - O72) / (1+'Viability comparison'!$D$18)^9</f>
        <v>1</v>
      </c>
      <c r="P147" s="109">
        <f>(P128 - P72) / (1+'Viability comparison'!$D$18)^10</f>
        <v>1</v>
      </c>
      <c r="Q147" s="18"/>
    </row>
  </sheetData>
  <sheetProtection sheet="1" insertColumns="0" selectLockedCells="1"/>
  <mergeCells count="4">
    <mergeCell ref="B3:Q3"/>
    <mergeCell ref="B5:D5"/>
    <mergeCell ref="W5:Y5"/>
    <mergeCell ref="W19:Y19"/>
  </mergeCells>
  <conditionalFormatting sqref="F138:P138">
    <cfRule type="iconSet" priority="4">
      <iconSet iconSet="3Arrows">
        <cfvo type="percent" val="0"/>
        <cfvo type="num" val="0"/>
        <cfvo type="num" val="0" gte="0"/>
      </iconSet>
    </cfRule>
  </conditionalFormatting>
  <conditionalFormatting sqref="F140:P140">
    <cfRule type="iconSet" priority="3">
      <iconSet iconSet="3Arrows" showValue="0">
        <cfvo type="percent" val="0"/>
        <cfvo type="num" val="0"/>
        <cfvo type="num" val="0" gte="0"/>
      </iconSet>
    </cfRule>
  </conditionalFormatting>
  <conditionalFormatting sqref="F144:P144">
    <cfRule type="iconSet" priority="2">
      <iconSet iconSet="3Arrows">
        <cfvo type="percent" val="0"/>
        <cfvo type="num" val="0"/>
        <cfvo type="num" val="0" gte="0"/>
      </iconSet>
    </cfRule>
  </conditionalFormatting>
  <conditionalFormatting sqref="F146:P146">
    <cfRule type="iconSet" priority="1">
      <iconSet iconSet="3Arrows">
        <cfvo type="percent" val="0"/>
        <cfvo type="num" val="0"/>
        <cfvo type="num" val="0" gte="0"/>
      </iconSet>
    </cfRule>
  </conditionalFormatting>
  <pageMargins left="0.7" right="0.7" top="0.75" bottom="0.75" header="0.3" footer="0.3"/>
  <pageSetup paperSize="9" orientation="portrait" r:id="rId1"/>
  <ignoredErrors>
    <ignoredError sqref="O139:P139 M139:N139 I139:L139 G139:H139 F13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659C3-1445-44AA-AA52-892892F1D79B}">
  <dimension ref="A1:Z147"/>
  <sheetViews>
    <sheetView showGridLines="0" workbookViewId="0">
      <selection activeCell="F8" sqref="F8"/>
    </sheetView>
  </sheetViews>
  <sheetFormatPr defaultRowHeight="14.5" x14ac:dyDescent="0.35"/>
  <cols>
    <col min="1" max="1" width="3.81640625" customWidth="1"/>
    <col min="2" max="3" width="3.453125" customWidth="1"/>
    <col min="4" max="4" width="73" customWidth="1"/>
    <col min="5" max="16" width="11.6328125" customWidth="1"/>
    <col min="17" max="17" width="1.81640625" customWidth="1"/>
    <col min="18" max="18" width="1.90625" customWidth="1"/>
    <col min="19" max="19" width="28.54296875" customWidth="1"/>
    <col min="20" max="20" width="2" customWidth="1"/>
    <col min="21" max="21" width="1.36328125" customWidth="1"/>
    <col min="22" max="22" width="1.81640625" customWidth="1"/>
    <col min="23" max="23" width="3.1796875" customWidth="1"/>
    <col min="24" max="24" width="24.1796875" customWidth="1"/>
    <col min="25" max="25" width="37.453125" customWidth="1"/>
    <col min="26" max="26" width="3.1796875" customWidth="1"/>
  </cols>
  <sheetData>
    <row r="1" spans="1:26" x14ac:dyDescent="0.35">
      <c r="A1" s="55" t="b">
        <f>(A6+A28+A49+A74+A107)&lt;&gt;0</f>
        <v>1</v>
      </c>
      <c r="C1" s="34"/>
    </row>
    <row r="2" spans="1:26" ht="33.5" x14ac:dyDescent="0.35">
      <c r="B2" s="5" t="s">
        <v>214</v>
      </c>
      <c r="C2" s="5"/>
    </row>
    <row r="3" spans="1:26" ht="38" customHeight="1" x14ac:dyDescent="0.35">
      <c r="B3" s="122" t="s">
        <v>113</v>
      </c>
      <c r="C3" s="122"/>
      <c r="D3" s="122"/>
      <c r="E3" s="122"/>
      <c r="F3" s="122"/>
      <c r="G3" s="122"/>
      <c r="H3" s="122"/>
      <c r="I3" s="122"/>
      <c r="J3" s="122"/>
      <c r="K3" s="122"/>
      <c r="L3" s="122"/>
      <c r="M3" s="122"/>
      <c r="N3" s="122"/>
      <c r="O3" s="122"/>
      <c r="P3" s="122"/>
      <c r="Q3" s="122"/>
    </row>
    <row r="4" spans="1:26" ht="15" thickBot="1" x14ac:dyDescent="0.4"/>
    <row r="5" spans="1:26" x14ac:dyDescent="0.35">
      <c r="B5" s="123" t="s">
        <v>116</v>
      </c>
      <c r="C5" s="124"/>
      <c r="D5" s="124"/>
      <c r="E5" s="9" t="s">
        <v>202</v>
      </c>
      <c r="F5" s="84">
        <f>'Option 1'!F5</f>
        <v>2022</v>
      </c>
      <c r="G5" s="84">
        <f>'Option 1'!G5</f>
        <v>2023</v>
      </c>
      <c r="H5" s="84">
        <f>'Option 1'!H5</f>
        <v>2024</v>
      </c>
      <c r="I5" s="84">
        <f>'Option 1'!I5</f>
        <v>2025</v>
      </c>
      <c r="J5" s="84">
        <f>'Option 1'!J5</f>
        <v>2026</v>
      </c>
      <c r="K5" s="84">
        <f>'Option 1'!K5</f>
        <v>2027</v>
      </c>
      <c r="L5" s="84">
        <f>'Option 1'!L5</f>
        <v>2028</v>
      </c>
      <c r="M5" s="84">
        <f>'Option 1'!M5</f>
        <v>2029</v>
      </c>
      <c r="N5" s="84">
        <f>'Option 1'!N5</f>
        <v>2030</v>
      </c>
      <c r="O5" s="84">
        <f>'Option 1'!O5</f>
        <v>2031</v>
      </c>
      <c r="P5" s="84">
        <f>'Option 1'!P5</f>
        <v>2032</v>
      </c>
      <c r="Q5" s="11"/>
      <c r="S5" s="25" t="s">
        <v>201</v>
      </c>
      <c r="V5" s="6"/>
      <c r="W5" s="125" t="s">
        <v>205</v>
      </c>
      <c r="X5" s="125"/>
      <c r="Y5" s="125"/>
      <c r="Z5" s="6"/>
    </row>
    <row r="6" spans="1:26" x14ac:dyDescent="0.35">
      <c r="A6" s="55" t="b">
        <f>(B7+B11+B18)&lt;&gt;0</f>
        <v>1</v>
      </c>
      <c r="B6" s="12" t="s">
        <v>114</v>
      </c>
      <c r="C6" s="15"/>
      <c r="D6" s="8"/>
      <c r="E6" s="8"/>
      <c r="F6" s="8"/>
      <c r="G6" s="8"/>
      <c r="H6" s="8"/>
      <c r="I6" s="8"/>
      <c r="J6" s="8"/>
      <c r="K6" s="8"/>
      <c r="L6" s="8"/>
      <c r="M6" s="8"/>
      <c r="N6" s="8"/>
      <c r="O6" s="8"/>
      <c r="P6" s="8"/>
      <c r="Q6" s="13"/>
      <c r="S6" s="29" t="s">
        <v>203</v>
      </c>
      <c r="V6" s="7"/>
      <c r="W6" s="7" t="s">
        <v>204</v>
      </c>
      <c r="X6" s="7"/>
      <c r="Y6" s="7"/>
      <c r="Z6" s="7"/>
    </row>
    <row r="7" spans="1:26" x14ac:dyDescent="0.35">
      <c r="B7" s="54" t="b" cm="1">
        <f t="array" ref="B7">SUMPRODUCT(--(F8:P10&lt;&gt;""))&lt;&gt;0</f>
        <v>0</v>
      </c>
      <c r="C7" s="15" t="s">
        <v>115</v>
      </c>
      <c r="D7" s="8"/>
      <c r="E7" s="8"/>
      <c r="F7" s="8"/>
      <c r="G7" s="8"/>
      <c r="H7" s="8"/>
      <c r="I7" s="8"/>
      <c r="J7" s="8"/>
      <c r="K7" s="8"/>
      <c r="L7" s="8"/>
      <c r="M7" s="8"/>
      <c r="N7" s="8"/>
      <c r="O7" s="8"/>
      <c r="P7" s="8"/>
      <c r="Q7" s="13"/>
      <c r="S7" s="27"/>
      <c r="V7" s="7"/>
      <c r="W7" s="7"/>
      <c r="X7" s="7" t="s">
        <v>206</v>
      </c>
      <c r="Y7" s="7" t="s">
        <v>207</v>
      </c>
      <c r="Z7" s="7"/>
    </row>
    <row r="8" spans="1:26" x14ac:dyDescent="0.35">
      <c r="B8" s="12"/>
      <c r="C8" s="15"/>
      <c r="D8" s="35" t="s">
        <v>117</v>
      </c>
      <c r="E8" s="1">
        <f t="shared" ref="E8:E10" si="0">SUM(F8:P8)</f>
        <v>0</v>
      </c>
      <c r="F8" s="2"/>
      <c r="G8" s="2"/>
      <c r="H8" s="2"/>
      <c r="I8" s="2"/>
      <c r="J8" s="2"/>
      <c r="K8" s="2"/>
      <c r="L8" s="2"/>
      <c r="M8" s="2"/>
      <c r="N8" s="2"/>
      <c r="O8" s="2"/>
      <c r="P8" s="2"/>
      <c r="Q8" s="13"/>
      <c r="S8" s="27"/>
      <c r="V8" s="7"/>
      <c r="W8" s="7">
        <v>1</v>
      </c>
      <c r="X8" s="2"/>
      <c r="Y8" s="2"/>
      <c r="Z8" s="7"/>
    </row>
    <row r="9" spans="1:26" x14ac:dyDescent="0.35">
      <c r="B9" s="12"/>
      <c r="C9" s="15"/>
      <c r="D9" s="8" t="s">
        <v>118</v>
      </c>
      <c r="E9" s="1">
        <f t="shared" si="0"/>
        <v>0</v>
      </c>
      <c r="F9" s="2"/>
      <c r="G9" s="2"/>
      <c r="H9" s="2"/>
      <c r="I9" s="2"/>
      <c r="J9" s="2"/>
      <c r="K9" s="2"/>
      <c r="L9" s="2"/>
      <c r="M9" s="2"/>
      <c r="N9" s="2"/>
      <c r="O9" s="2"/>
      <c r="P9" s="2"/>
      <c r="Q9" s="13"/>
      <c r="S9" s="27"/>
      <c r="V9" s="7"/>
      <c r="W9" s="7">
        <v>2</v>
      </c>
      <c r="X9" s="2"/>
      <c r="Y9" s="2"/>
      <c r="Z9" s="7"/>
    </row>
    <row r="10" spans="1:26" x14ac:dyDescent="0.35">
      <c r="B10" s="12"/>
      <c r="C10" s="15"/>
      <c r="D10" s="8" t="s">
        <v>119</v>
      </c>
      <c r="E10" s="1">
        <f t="shared" si="0"/>
        <v>0</v>
      </c>
      <c r="F10" s="2"/>
      <c r="G10" s="2"/>
      <c r="H10" s="2"/>
      <c r="I10" s="2"/>
      <c r="J10" s="2"/>
      <c r="K10" s="2"/>
      <c r="L10" s="2"/>
      <c r="M10" s="2"/>
      <c r="N10" s="2"/>
      <c r="O10" s="2"/>
      <c r="P10" s="2"/>
      <c r="Q10" s="13"/>
      <c r="S10" s="27"/>
      <c r="V10" s="7"/>
      <c r="W10" s="7">
        <v>3</v>
      </c>
      <c r="X10" s="2"/>
      <c r="Y10" s="2"/>
      <c r="Z10" s="7"/>
    </row>
    <row r="11" spans="1:26" x14ac:dyDescent="0.35">
      <c r="B11" s="54" t="b" cm="1">
        <f t="array" ref="B11">SUMPRODUCT(--(F12:P17&lt;&gt;""))&lt;&gt;0</f>
        <v>1</v>
      </c>
      <c r="C11" s="15" t="s">
        <v>221</v>
      </c>
      <c r="D11" s="8"/>
      <c r="E11" s="8"/>
      <c r="F11" s="8"/>
      <c r="G11" s="8"/>
      <c r="H11" s="8"/>
      <c r="I11" s="8"/>
      <c r="J11" s="8"/>
      <c r="K11" s="8"/>
      <c r="L11" s="8"/>
      <c r="M11" s="8"/>
      <c r="N11" s="8"/>
      <c r="O11" s="8"/>
      <c r="P11" s="8"/>
      <c r="Q11" s="13"/>
      <c r="S11" s="28"/>
      <c r="V11" s="7"/>
      <c r="W11" s="7">
        <v>4</v>
      </c>
      <c r="X11" s="2"/>
      <c r="Y11" s="2"/>
      <c r="Z11" s="7"/>
    </row>
    <row r="12" spans="1:26" x14ac:dyDescent="0.35">
      <c r="B12" s="14"/>
      <c r="C12" s="8"/>
      <c r="D12" s="8" t="s">
        <v>120</v>
      </c>
      <c r="E12" s="1">
        <f t="shared" ref="E12:E14" si="1">SUM(F12:P12)</f>
        <v>0</v>
      </c>
      <c r="F12" s="2"/>
      <c r="G12" s="2"/>
      <c r="H12" s="2"/>
      <c r="I12" s="2"/>
      <c r="J12" s="2"/>
      <c r="K12" s="2"/>
      <c r="L12" s="2"/>
      <c r="M12" s="2"/>
      <c r="N12" s="2"/>
      <c r="O12" s="2"/>
      <c r="P12" s="2"/>
      <c r="Q12" s="13"/>
      <c r="S12" s="28"/>
      <c r="V12" s="7"/>
      <c r="W12" s="7">
        <v>5</v>
      </c>
      <c r="X12" s="2"/>
      <c r="Y12" s="2"/>
      <c r="Z12" s="7"/>
    </row>
    <row r="13" spans="1:26" x14ac:dyDescent="0.35">
      <c r="B13" s="14"/>
      <c r="C13" s="8"/>
      <c r="D13" s="8" t="s">
        <v>121</v>
      </c>
      <c r="E13" s="1">
        <f t="shared" si="1"/>
        <v>0</v>
      </c>
      <c r="F13" s="57"/>
      <c r="G13" s="2"/>
      <c r="H13" s="2"/>
      <c r="I13" s="2"/>
      <c r="J13" s="2"/>
      <c r="K13" s="2"/>
      <c r="L13" s="2"/>
      <c r="M13" s="2"/>
      <c r="N13" s="2"/>
      <c r="O13" s="2"/>
      <c r="P13" s="2"/>
      <c r="Q13" s="13"/>
      <c r="S13" s="28"/>
      <c r="V13" s="7"/>
      <c r="W13" s="7" t="s">
        <v>208</v>
      </c>
      <c r="X13" s="7"/>
      <c r="Y13" s="7" t="s">
        <v>207</v>
      </c>
      <c r="Z13" s="7"/>
    </row>
    <row r="14" spans="1:26" x14ac:dyDescent="0.35">
      <c r="B14" s="14"/>
      <c r="C14" s="8"/>
      <c r="D14" s="8" t="s">
        <v>169</v>
      </c>
      <c r="E14" s="1">
        <f t="shared" si="1"/>
        <v>0</v>
      </c>
      <c r="F14" s="2"/>
      <c r="G14" s="2"/>
      <c r="H14" s="2"/>
      <c r="I14" s="2"/>
      <c r="J14" s="2"/>
      <c r="K14" s="2"/>
      <c r="L14" s="2"/>
      <c r="M14" s="2"/>
      <c r="N14" s="2"/>
      <c r="O14" s="2"/>
      <c r="P14" s="2"/>
      <c r="Q14" s="13"/>
      <c r="S14" s="28"/>
      <c r="V14" s="7"/>
      <c r="W14" s="7">
        <v>6</v>
      </c>
      <c r="X14" s="2"/>
      <c r="Y14" s="2"/>
      <c r="Z14" s="7"/>
    </row>
    <row r="15" spans="1:26" x14ac:dyDescent="0.35">
      <c r="B15" s="14"/>
      <c r="C15" s="8"/>
      <c r="D15" s="8" t="s">
        <v>122</v>
      </c>
      <c r="E15" s="1">
        <f>SUM(F15:P15)</f>
        <v>0</v>
      </c>
      <c r="F15" s="2"/>
      <c r="G15" s="2"/>
      <c r="H15" s="2"/>
      <c r="I15" s="2"/>
      <c r="J15" s="2"/>
      <c r="K15" s="2"/>
      <c r="L15" s="2"/>
      <c r="M15" s="2"/>
      <c r="N15" s="2"/>
      <c r="O15" s="2"/>
      <c r="P15" s="2"/>
      <c r="Q15" s="13"/>
      <c r="S15" s="28"/>
      <c r="V15" s="7"/>
      <c r="W15" s="7">
        <v>7</v>
      </c>
      <c r="X15" s="2"/>
      <c r="Y15" s="2"/>
      <c r="Z15" s="7"/>
    </row>
    <row r="16" spans="1:26" x14ac:dyDescent="0.35">
      <c r="B16" s="14"/>
      <c r="C16" s="8"/>
      <c r="D16" s="8" t="s">
        <v>123</v>
      </c>
      <c r="E16" s="1">
        <f t="shared" ref="E16:E17" si="2">SUM(F16:P16)</f>
        <v>3</v>
      </c>
      <c r="F16" s="2"/>
      <c r="G16" s="2">
        <v>3</v>
      </c>
      <c r="H16" s="2"/>
      <c r="I16" s="2"/>
      <c r="J16" s="2"/>
      <c r="K16" s="2"/>
      <c r="L16" s="2"/>
      <c r="M16" s="2"/>
      <c r="N16" s="2"/>
      <c r="O16" s="2"/>
      <c r="P16" s="2"/>
      <c r="Q16" s="13"/>
      <c r="S16" s="28"/>
      <c r="V16" s="7"/>
      <c r="W16" s="7">
        <v>8</v>
      </c>
      <c r="X16" s="2"/>
      <c r="Y16" s="2"/>
      <c r="Z16" s="7"/>
    </row>
    <row r="17" spans="1:26" x14ac:dyDescent="0.35">
      <c r="B17" s="14"/>
      <c r="C17" s="8"/>
      <c r="D17" s="8" t="s">
        <v>124</v>
      </c>
      <c r="E17" s="1">
        <f t="shared" si="2"/>
        <v>2</v>
      </c>
      <c r="F17" s="2">
        <v>1</v>
      </c>
      <c r="G17" s="2">
        <v>1</v>
      </c>
      <c r="H17" s="2"/>
      <c r="I17" s="2"/>
      <c r="J17" s="2"/>
      <c r="K17" s="2"/>
      <c r="L17" s="2"/>
      <c r="M17" s="2"/>
      <c r="N17" s="2"/>
      <c r="O17" s="2"/>
      <c r="P17" s="2"/>
      <c r="Q17" s="13"/>
      <c r="S17" s="28"/>
      <c r="V17" s="7"/>
      <c r="W17" s="7">
        <v>9</v>
      </c>
      <c r="X17" s="2"/>
      <c r="Y17" s="2"/>
      <c r="Z17" s="7"/>
    </row>
    <row r="18" spans="1:26" x14ac:dyDescent="0.35">
      <c r="B18" s="54" t="b" cm="1">
        <f t="array" ref="B18">SUMPRODUCT(--(F19:P21&lt;&gt;""))&lt;&gt;0</f>
        <v>1</v>
      </c>
      <c r="C18" s="15" t="s">
        <v>125</v>
      </c>
      <c r="D18" s="8"/>
      <c r="E18" s="8"/>
      <c r="F18" s="8"/>
      <c r="G18" s="8"/>
      <c r="H18" s="8"/>
      <c r="I18" s="8"/>
      <c r="J18" s="8"/>
      <c r="K18" s="8"/>
      <c r="L18" s="8"/>
      <c r="M18" s="8"/>
      <c r="N18" s="8"/>
      <c r="O18" s="8"/>
      <c r="P18" s="8"/>
      <c r="Q18" s="13"/>
      <c r="S18" s="28"/>
      <c r="V18" s="7"/>
      <c r="W18" s="7"/>
      <c r="X18" s="7"/>
      <c r="Y18" s="7"/>
      <c r="Z18" s="7"/>
    </row>
    <row r="19" spans="1:26" x14ac:dyDescent="0.35">
      <c r="B19" s="14"/>
      <c r="C19" s="8"/>
      <c r="D19" s="8" t="s">
        <v>126</v>
      </c>
      <c r="E19" s="1">
        <f t="shared" ref="E19:E21" si="3">SUM(F19:P19)</f>
        <v>0</v>
      </c>
      <c r="F19" s="2"/>
      <c r="G19" s="2"/>
      <c r="H19" s="2"/>
      <c r="I19" s="2"/>
      <c r="J19" s="2"/>
      <c r="K19" s="2"/>
      <c r="L19" s="2"/>
      <c r="M19" s="2"/>
      <c r="N19" s="2"/>
      <c r="O19" s="2"/>
      <c r="P19" s="2"/>
      <c r="Q19" s="13"/>
      <c r="S19" s="28"/>
      <c r="V19" s="7"/>
      <c r="W19" s="125" t="s">
        <v>209</v>
      </c>
      <c r="X19" s="125"/>
      <c r="Y19" s="125"/>
      <c r="Z19" s="7"/>
    </row>
    <row r="20" spans="1:26" x14ac:dyDescent="0.35">
      <c r="B20" s="14"/>
      <c r="C20" s="8"/>
      <c r="D20" s="8" t="s">
        <v>127</v>
      </c>
      <c r="E20" s="1">
        <f t="shared" si="3"/>
        <v>1</v>
      </c>
      <c r="F20" s="3"/>
      <c r="G20" s="3">
        <v>1</v>
      </c>
      <c r="H20" s="3"/>
      <c r="I20" s="3"/>
      <c r="J20" s="3"/>
      <c r="K20" s="3"/>
      <c r="L20" s="3"/>
      <c r="M20" s="3"/>
      <c r="N20" s="3"/>
      <c r="O20" s="3"/>
      <c r="P20" s="3"/>
      <c r="Q20" s="13"/>
      <c r="S20" s="28"/>
      <c r="V20" s="7"/>
      <c r="W20" s="7" t="s">
        <v>210</v>
      </c>
      <c r="X20" s="7"/>
      <c r="Y20" s="7"/>
      <c r="Z20" s="7"/>
    </row>
    <row r="21" spans="1:26" ht="15" thickBot="1" x14ac:dyDescent="0.4">
      <c r="B21" s="14"/>
      <c r="C21" s="8"/>
      <c r="D21" s="8" t="s">
        <v>128</v>
      </c>
      <c r="E21" s="31">
        <f t="shared" si="3"/>
        <v>2</v>
      </c>
      <c r="F21" s="45">
        <v>1</v>
      </c>
      <c r="G21" s="45">
        <v>1</v>
      </c>
      <c r="H21" s="45"/>
      <c r="I21" s="45"/>
      <c r="J21" s="45"/>
      <c r="K21" s="45"/>
      <c r="L21" s="45"/>
      <c r="M21" s="45"/>
      <c r="N21" s="45"/>
      <c r="O21" s="45"/>
      <c r="P21" s="45"/>
      <c r="Q21" s="13"/>
      <c r="S21" s="28"/>
      <c r="V21" s="7"/>
      <c r="W21" s="7"/>
      <c r="X21" s="7" t="s">
        <v>211</v>
      </c>
      <c r="Y21" s="7" t="s">
        <v>212</v>
      </c>
      <c r="Z21" s="7"/>
    </row>
    <row r="22" spans="1:26" ht="15" thickTop="1" x14ac:dyDescent="0.35">
      <c r="B22" s="14"/>
      <c r="C22" s="15" t="s">
        <v>129</v>
      </c>
      <c r="D22" s="15"/>
      <c r="E22" s="32">
        <f>SUM(E8:E10,E12:E17,E19:E21)</f>
        <v>8</v>
      </c>
      <c r="F22" s="32">
        <f t="shared" ref="F22:P22" si="4">SUM(F8:F10,F12:F17,F19:F21)</f>
        <v>2</v>
      </c>
      <c r="G22" s="32">
        <f t="shared" si="4"/>
        <v>6</v>
      </c>
      <c r="H22" s="32">
        <f t="shared" si="4"/>
        <v>0</v>
      </c>
      <c r="I22" s="32">
        <f t="shared" si="4"/>
        <v>0</v>
      </c>
      <c r="J22" s="32">
        <f t="shared" si="4"/>
        <v>0</v>
      </c>
      <c r="K22" s="32">
        <f t="shared" si="4"/>
        <v>0</v>
      </c>
      <c r="L22" s="32">
        <f t="shared" si="4"/>
        <v>0</v>
      </c>
      <c r="M22" s="32">
        <f t="shared" si="4"/>
        <v>0</v>
      </c>
      <c r="N22" s="32">
        <f t="shared" si="4"/>
        <v>0</v>
      </c>
      <c r="O22" s="32">
        <f t="shared" si="4"/>
        <v>0</v>
      </c>
      <c r="P22" s="32">
        <f t="shared" si="4"/>
        <v>0</v>
      </c>
      <c r="Q22" s="13"/>
      <c r="S22" s="28"/>
      <c r="V22" s="7"/>
      <c r="W22" s="7">
        <v>1</v>
      </c>
      <c r="X22" s="2"/>
      <c r="Y22" s="2"/>
      <c r="Z22" s="7"/>
    </row>
    <row r="23" spans="1:26" x14ac:dyDescent="0.35">
      <c r="B23" s="14"/>
      <c r="C23" s="15"/>
      <c r="D23" s="35" t="s">
        <v>130</v>
      </c>
      <c r="E23" s="82">
        <f>SUM(F23:P24)</f>
        <v>8</v>
      </c>
      <c r="F23" s="82">
        <f>F22/(1+'Viability comparison'!$D$6)^0</f>
        <v>2</v>
      </c>
      <c r="G23" s="82">
        <f>G22/(1+'Viability comparison'!$D$6)^1</f>
        <v>6</v>
      </c>
      <c r="H23" s="82">
        <f>H22/(1+'Viability comparison'!$D$6)^2</f>
        <v>0</v>
      </c>
      <c r="I23" s="82">
        <f>I22/(1+'Viability comparison'!$D$6)^3</f>
        <v>0</v>
      </c>
      <c r="J23" s="82">
        <f>J22/(1+'Viability comparison'!$D$6)^4</f>
        <v>0</v>
      </c>
      <c r="K23" s="82">
        <f>K22/(1+'Viability comparison'!$D$6)^5</f>
        <v>0</v>
      </c>
      <c r="L23" s="82">
        <f>L22/(1+'Viability comparison'!$D$6)^6</f>
        <v>0</v>
      </c>
      <c r="M23" s="82">
        <f>M22/(1+'Viability comparison'!$D$6)^7</f>
        <v>0</v>
      </c>
      <c r="N23" s="82">
        <f>N22/(1+'Viability comparison'!$D$6)^8</f>
        <v>0</v>
      </c>
      <c r="O23" s="82">
        <f>O22/(1+'Viability comparison'!$D$6)^9</f>
        <v>0</v>
      </c>
      <c r="P23" s="82">
        <f>P22/(1+'Viability comparison'!$D$6)^10</f>
        <v>0</v>
      </c>
      <c r="Q23" s="13"/>
      <c r="S23" s="43"/>
      <c r="V23" s="7"/>
      <c r="W23" s="7">
        <v>2</v>
      </c>
      <c r="X23" s="2"/>
      <c r="Y23" s="2"/>
      <c r="Z23" s="7"/>
    </row>
    <row r="24" spans="1:26" x14ac:dyDescent="0.35">
      <c r="B24" s="14"/>
      <c r="C24" s="15"/>
      <c r="D24" s="15"/>
      <c r="E24" s="15"/>
      <c r="F24" s="15"/>
      <c r="G24" s="15"/>
      <c r="H24" s="15"/>
      <c r="I24" s="15"/>
      <c r="J24" s="15"/>
      <c r="K24" s="15"/>
      <c r="L24" s="15"/>
      <c r="M24" s="15"/>
      <c r="N24" s="15"/>
      <c r="O24" s="15"/>
      <c r="P24" s="15"/>
      <c r="Q24" s="13"/>
      <c r="S24" s="43"/>
      <c r="V24" s="7"/>
      <c r="W24" s="7">
        <v>3</v>
      </c>
      <c r="X24" s="2"/>
      <c r="Y24" s="2"/>
      <c r="Z24" s="7"/>
    </row>
    <row r="25" spans="1:26" x14ac:dyDescent="0.35">
      <c r="B25" s="54"/>
      <c r="C25" s="15" t="s">
        <v>131</v>
      </c>
      <c r="D25" s="15"/>
      <c r="E25" s="46">
        <v>0</v>
      </c>
      <c r="F25" s="15"/>
      <c r="G25" s="15"/>
      <c r="H25" s="15"/>
      <c r="I25" s="15"/>
      <c r="J25" s="15"/>
      <c r="K25" s="15"/>
      <c r="L25" s="15"/>
      <c r="M25" s="15"/>
      <c r="N25" s="15"/>
      <c r="O25" s="15"/>
      <c r="P25" s="15"/>
      <c r="Q25" s="13"/>
      <c r="S25" s="43"/>
      <c r="V25" s="7"/>
      <c r="W25" s="7">
        <v>4</v>
      </c>
      <c r="X25" s="2"/>
      <c r="Y25" s="2"/>
      <c r="Z25" s="7"/>
    </row>
    <row r="26" spans="1:26" ht="15" thickBot="1" x14ac:dyDescent="0.4">
      <c r="B26" s="16"/>
      <c r="C26" s="17"/>
      <c r="D26" s="17"/>
      <c r="E26" s="17"/>
      <c r="F26" s="17"/>
      <c r="G26" s="17"/>
      <c r="H26" s="17"/>
      <c r="I26" s="17"/>
      <c r="J26" s="17"/>
      <c r="K26" s="17"/>
      <c r="L26" s="17"/>
      <c r="M26" s="17"/>
      <c r="N26" s="17"/>
      <c r="O26" s="17"/>
      <c r="P26" s="17"/>
      <c r="Q26" s="18"/>
      <c r="S26" s="26"/>
      <c r="V26" s="7"/>
      <c r="W26" s="7">
        <v>5</v>
      </c>
      <c r="X26" s="2"/>
      <c r="Y26" s="2"/>
      <c r="Z26" s="7"/>
    </row>
    <row r="27" spans="1:26" ht="15" thickBot="1" x14ac:dyDescent="0.4">
      <c r="V27" s="7"/>
      <c r="W27" s="7" t="s">
        <v>213</v>
      </c>
      <c r="X27" s="7"/>
      <c r="Y27" s="7" t="s">
        <v>212</v>
      </c>
      <c r="Z27" s="7"/>
    </row>
    <row r="28" spans="1:26" x14ac:dyDescent="0.35">
      <c r="A28" s="55" t="b">
        <f>(B29+B33+B40)&lt;&gt;0</f>
        <v>1</v>
      </c>
      <c r="B28" s="19" t="s">
        <v>132</v>
      </c>
      <c r="C28" s="36"/>
      <c r="D28" s="20"/>
      <c r="E28" s="20"/>
      <c r="F28" s="20"/>
      <c r="G28" s="20"/>
      <c r="H28" s="20"/>
      <c r="I28" s="20"/>
      <c r="J28" s="20"/>
      <c r="K28" s="20"/>
      <c r="L28" s="20"/>
      <c r="M28" s="20"/>
      <c r="N28" s="20"/>
      <c r="O28" s="20"/>
      <c r="P28" s="20"/>
      <c r="Q28" s="21"/>
      <c r="S28" s="30"/>
      <c r="V28" s="7"/>
      <c r="W28" s="8">
        <v>6</v>
      </c>
      <c r="X28" s="2"/>
      <c r="Y28" s="2"/>
      <c r="Z28" s="7"/>
    </row>
    <row r="29" spans="1:26" x14ac:dyDescent="0.35">
      <c r="B29" s="54" t="b" cm="1">
        <f t="array" ref="B29">SUMPRODUCT(--(F30:P32&lt;&gt;""))&lt;&gt;0</f>
        <v>0</v>
      </c>
      <c r="C29" s="15" t="str">
        <f>C7</f>
        <v>Primary activies costs</v>
      </c>
      <c r="D29" s="8"/>
      <c r="E29" s="8"/>
      <c r="F29" s="8"/>
      <c r="G29" s="8"/>
      <c r="H29" s="8"/>
      <c r="I29" s="8"/>
      <c r="J29" s="8"/>
      <c r="K29" s="8"/>
      <c r="L29" s="8"/>
      <c r="M29" s="8"/>
      <c r="N29" s="8"/>
      <c r="O29" s="8"/>
      <c r="P29" s="8"/>
      <c r="Q29" s="13"/>
      <c r="S29" s="27"/>
      <c r="V29" s="7"/>
      <c r="W29" s="8">
        <v>7</v>
      </c>
      <c r="X29" s="2"/>
      <c r="Y29" s="2"/>
      <c r="Z29" s="7"/>
    </row>
    <row r="30" spans="1:26" x14ac:dyDescent="0.35">
      <c r="B30" s="14"/>
      <c r="C30" s="8"/>
      <c r="D30" s="8" t="str">
        <f>D8</f>
        <v>Consulting costs in primary activities</v>
      </c>
      <c r="E30" s="1">
        <f t="shared" ref="E30:E32" si="5">SUM(F30:P30)</f>
        <v>0</v>
      </c>
      <c r="F30" s="2"/>
      <c r="G30" s="2"/>
      <c r="H30" s="2"/>
      <c r="I30" s="2"/>
      <c r="J30" s="2"/>
      <c r="K30" s="2"/>
      <c r="L30" s="2"/>
      <c r="M30" s="2"/>
      <c r="N30" s="2"/>
      <c r="O30" s="2"/>
      <c r="P30" s="2"/>
      <c r="Q30" s="13"/>
      <c r="S30" s="27"/>
      <c r="V30" s="7"/>
      <c r="W30" s="8">
        <v>8</v>
      </c>
      <c r="X30" s="2"/>
      <c r="Y30" s="2"/>
      <c r="Z30" s="7"/>
    </row>
    <row r="31" spans="1:26" x14ac:dyDescent="0.35">
      <c r="B31" s="14"/>
      <c r="C31" s="8"/>
      <c r="D31" s="8" t="str">
        <f>D9</f>
        <v>Purchase of equipment and materials</v>
      </c>
      <c r="E31" s="1">
        <f t="shared" si="5"/>
        <v>0</v>
      </c>
      <c r="F31" s="2"/>
      <c r="G31" s="2"/>
      <c r="H31" s="2"/>
      <c r="I31" s="2"/>
      <c r="J31" s="2"/>
      <c r="K31" s="2"/>
      <c r="L31" s="2"/>
      <c r="M31" s="2"/>
      <c r="N31" s="2"/>
      <c r="O31" s="2"/>
      <c r="P31" s="2"/>
      <c r="Q31" s="13"/>
      <c r="S31" s="27"/>
      <c r="V31" s="7"/>
      <c r="W31" s="8">
        <v>9</v>
      </c>
      <c r="X31" s="2"/>
      <c r="Y31" s="2"/>
      <c r="Z31" s="7"/>
    </row>
    <row r="32" spans="1:26" x14ac:dyDescent="0.35">
      <c r="B32" s="14"/>
      <c r="C32" s="8"/>
      <c r="D32" s="8" t="str">
        <f>D10</f>
        <v>Other purchase</v>
      </c>
      <c r="E32" s="1">
        <f t="shared" si="5"/>
        <v>0</v>
      </c>
      <c r="F32" s="2"/>
      <c r="G32" s="2"/>
      <c r="H32" s="2"/>
      <c r="I32" s="2"/>
      <c r="J32" s="2"/>
      <c r="K32" s="2"/>
      <c r="L32" s="2"/>
      <c r="M32" s="2"/>
      <c r="N32" s="2"/>
      <c r="O32" s="2"/>
      <c r="P32" s="2"/>
      <c r="Q32" s="13"/>
      <c r="S32" s="27"/>
      <c r="V32" s="7"/>
      <c r="W32" s="7"/>
      <c r="X32" s="7"/>
      <c r="Y32" s="7"/>
      <c r="Z32" s="7"/>
    </row>
    <row r="33" spans="2:19" x14ac:dyDescent="0.35">
      <c r="B33" s="54" t="b" cm="1">
        <f t="array" ref="B33">SUMPRODUCT(--(F34:P39&lt;&gt;""))&lt;&gt;0</f>
        <v>1</v>
      </c>
      <c r="C33" s="15" t="str">
        <f>C11</f>
        <v>Digital and tech activities costs</v>
      </c>
      <c r="D33" s="8"/>
      <c r="E33" s="8"/>
      <c r="F33" s="8"/>
      <c r="G33" s="8"/>
      <c r="H33" s="8"/>
      <c r="I33" s="8"/>
      <c r="J33" s="8"/>
      <c r="K33" s="8"/>
      <c r="L33" s="8"/>
      <c r="M33" s="8"/>
      <c r="N33" s="8"/>
      <c r="O33" s="8"/>
      <c r="P33" s="8"/>
      <c r="Q33" s="13"/>
      <c r="S33" s="27"/>
    </row>
    <row r="34" spans="2:19" x14ac:dyDescent="0.35">
      <c r="B34" s="14"/>
      <c r="C34" s="8"/>
      <c r="D34" s="8" t="str">
        <f t="shared" ref="D34:D39" si="6">D12</f>
        <v>Cyber security</v>
      </c>
      <c r="E34" s="1">
        <f t="shared" ref="E34:E39" si="7">SUM(F34:P34)</f>
        <v>0</v>
      </c>
      <c r="F34" s="2"/>
      <c r="G34" s="2"/>
      <c r="H34" s="2"/>
      <c r="I34" s="2"/>
      <c r="J34" s="2"/>
      <c r="K34" s="2"/>
      <c r="L34" s="2"/>
      <c r="M34" s="2"/>
      <c r="N34" s="2"/>
      <c r="O34" s="2"/>
      <c r="P34" s="2"/>
      <c r="Q34" s="13"/>
      <c r="S34" s="27"/>
    </row>
    <row r="35" spans="2:19" x14ac:dyDescent="0.35">
      <c r="B35" s="14"/>
      <c r="C35" s="8"/>
      <c r="D35" s="8" t="str">
        <f t="shared" si="6"/>
        <v>Digital infrastucture (network, data center, Iaas, PaaS)</v>
      </c>
      <c r="E35" s="1">
        <f t="shared" si="7"/>
        <v>0</v>
      </c>
      <c r="F35" s="2"/>
      <c r="G35" s="2"/>
      <c r="H35" s="2"/>
      <c r="I35" s="2"/>
      <c r="J35" s="2"/>
      <c r="K35" s="2"/>
      <c r="L35" s="2"/>
      <c r="M35" s="2"/>
      <c r="N35" s="2"/>
      <c r="O35" s="2"/>
      <c r="P35" s="2"/>
      <c r="Q35" s="13"/>
      <c r="S35" s="27"/>
    </row>
    <row r="36" spans="2:19" x14ac:dyDescent="0.35">
      <c r="B36" s="14"/>
      <c r="C36" s="8"/>
      <c r="D36" s="8" t="str">
        <f t="shared" si="6"/>
        <v>Digital work environment (workstation, printing, phone)</v>
      </c>
      <c r="E36" s="1">
        <f t="shared" si="7"/>
        <v>0</v>
      </c>
      <c r="F36" s="2"/>
      <c r="G36" s="2"/>
      <c r="H36" s="2"/>
      <c r="I36" s="2"/>
      <c r="J36" s="2"/>
      <c r="K36" s="2"/>
      <c r="L36" s="2"/>
      <c r="M36" s="2"/>
      <c r="N36" s="2"/>
      <c r="O36" s="2"/>
      <c r="P36" s="2"/>
      <c r="Q36" s="13"/>
      <c r="S36" s="27"/>
    </row>
    <row r="37" spans="2:19" x14ac:dyDescent="0.35">
      <c r="B37" s="14"/>
      <c r="C37" s="8"/>
      <c r="D37" s="8" t="str">
        <f t="shared" si="6"/>
        <v>Other digital equipment</v>
      </c>
      <c r="E37" s="1">
        <f t="shared" si="7"/>
        <v>0</v>
      </c>
      <c r="F37" s="2"/>
      <c r="G37" s="2"/>
      <c r="H37" s="2"/>
      <c r="I37" s="2"/>
      <c r="J37" s="2"/>
      <c r="K37" s="2"/>
      <c r="L37" s="2"/>
      <c r="M37" s="2"/>
      <c r="N37" s="2"/>
      <c r="O37" s="2"/>
      <c r="P37" s="2"/>
      <c r="Q37" s="13"/>
      <c r="S37" s="27"/>
    </row>
    <row r="38" spans="2:19" x14ac:dyDescent="0.35">
      <c r="B38" s="14"/>
      <c r="C38" s="8"/>
      <c r="D38" s="8" t="str">
        <f t="shared" si="6"/>
        <v>Digitaaliset applications and software (information systems, developer tools)</v>
      </c>
      <c r="E38" s="1">
        <f t="shared" si="7"/>
        <v>3</v>
      </c>
      <c r="F38" s="2"/>
      <c r="G38" s="2"/>
      <c r="H38" s="2">
        <v>1</v>
      </c>
      <c r="I38" s="2">
        <v>1</v>
      </c>
      <c r="J38" s="2">
        <v>1</v>
      </c>
      <c r="K38" s="2"/>
      <c r="L38" s="2"/>
      <c r="M38" s="2"/>
      <c r="N38" s="2"/>
      <c r="O38" s="2"/>
      <c r="P38" s="2"/>
      <c r="Q38" s="13"/>
      <c r="S38" s="27"/>
    </row>
    <row r="39" spans="2:19" x14ac:dyDescent="0.35">
      <c r="B39" s="14"/>
      <c r="C39" s="8"/>
      <c r="D39" s="8" t="str">
        <f t="shared" si="6"/>
        <v>Software development (consulting, …)</v>
      </c>
      <c r="E39" s="1">
        <f t="shared" si="7"/>
        <v>2</v>
      </c>
      <c r="F39" s="2">
        <v>1</v>
      </c>
      <c r="G39" s="2">
        <v>1</v>
      </c>
      <c r="H39" s="2"/>
      <c r="I39" s="2"/>
      <c r="J39" s="2"/>
      <c r="K39" s="2"/>
      <c r="L39" s="2"/>
      <c r="M39" s="2"/>
      <c r="N39" s="2"/>
      <c r="O39" s="2"/>
      <c r="P39" s="2"/>
      <c r="Q39" s="13"/>
      <c r="S39" s="27"/>
    </row>
    <row r="40" spans="2:19" x14ac:dyDescent="0.35">
      <c r="B40" s="54" t="b" cm="1">
        <f t="array" ref="B40">SUMPRODUCT(--(F41:P43&lt;&gt;""))&lt;&gt;0</f>
        <v>1</v>
      </c>
      <c r="C40" s="15" t="str">
        <f>C18</f>
        <v>Supportive and deployment costs</v>
      </c>
      <c r="D40" s="8"/>
      <c r="E40" s="8"/>
      <c r="F40" s="8"/>
      <c r="G40" s="8"/>
      <c r="H40" s="8"/>
      <c r="I40" s="8"/>
      <c r="J40" s="8"/>
      <c r="K40" s="8"/>
      <c r="L40" s="8"/>
      <c r="M40" s="8"/>
      <c r="N40" s="8"/>
      <c r="O40" s="8"/>
      <c r="P40" s="8"/>
      <c r="Q40" s="13"/>
      <c r="S40" s="28"/>
    </row>
    <row r="41" spans="2:19" x14ac:dyDescent="0.35">
      <c r="B41" s="14"/>
      <c r="C41" s="8"/>
      <c r="D41" s="8" t="str">
        <f>D19</f>
        <v>Service desk and other similar supporting costs</v>
      </c>
      <c r="E41" s="1">
        <f t="shared" ref="E41:E43" si="8">SUM(F41:P41)</f>
        <v>0</v>
      </c>
      <c r="F41" s="2"/>
      <c r="G41" s="2"/>
      <c r="H41" s="2"/>
      <c r="I41" s="2"/>
      <c r="J41" s="2"/>
      <c r="K41" s="2"/>
      <c r="L41" s="2"/>
      <c r="M41" s="2"/>
      <c r="N41" s="2"/>
      <c r="O41" s="2"/>
      <c r="P41" s="2"/>
      <c r="Q41" s="13"/>
      <c r="S41" s="28"/>
    </row>
    <row r="42" spans="2:19" x14ac:dyDescent="0.35">
      <c r="B42" s="14"/>
      <c r="C42" s="8"/>
      <c r="D42" s="8" t="str">
        <f>D20</f>
        <v>Learning and education</v>
      </c>
      <c r="E42" s="1">
        <f t="shared" si="8"/>
        <v>1</v>
      </c>
      <c r="F42" s="2"/>
      <c r="G42" s="2">
        <v>1</v>
      </c>
      <c r="H42" s="2"/>
      <c r="I42" s="2"/>
      <c r="J42" s="2"/>
      <c r="K42" s="2"/>
      <c r="L42" s="2"/>
      <c r="M42" s="2"/>
      <c r="N42" s="2"/>
      <c r="O42" s="2"/>
      <c r="P42" s="2"/>
      <c r="Q42" s="13"/>
      <c r="S42" s="28"/>
    </row>
    <row r="43" spans="2:19" ht="15" thickBot="1" x14ac:dyDescent="0.4">
      <c r="B43" s="14"/>
      <c r="C43" s="8"/>
      <c r="D43" s="8" t="str">
        <f>D21</f>
        <v>Administrative costs (e.g. project management)</v>
      </c>
      <c r="E43" s="31">
        <f t="shared" si="8"/>
        <v>2</v>
      </c>
      <c r="F43" s="45">
        <v>1</v>
      </c>
      <c r="G43" s="45">
        <v>1</v>
      </c>
      <c r="H43" s="45"/>
      <c r="I43" s="45"/>
      <c r="J43" s="45"/>
      <c r="K43" s="45"/>
      <c r="L43" s="45"/>
      <c r="M43" s="45"/>
      <c r="N43" s="45"/>
      <c r="O43" s="45"/>
      <c r="P43" s="45"/>
      <c r="Q43" s="13"/>
      <c r="S43" s="28"/>
    </row>
    <row r="44" spans="2:19" ht="15" thickTop="1" x14ac:dyDescent="0.35">
      <c r="B44" s="14"/>
      <c r="C44" s="15" t="s">
        <v>145</v>
      </c>
      <c r="D44" s="15"/>
      <c r="E44" s="32">
        <f t="shared" ref="E44:P44" si="9">SUM(E30:E32,E34:E39,E41:E43)</f>
        <v>8</v>
      </c>
      <c r="F44" s="32">
        <f t="shared" si="9"/>
        <v>2</v>
      </c>
      <c r="G44" s="32">
        <f t="shared" si="9"/>
        <v>3</v>
      </c>
      <c r="H44" s="32">
        <f t="shared" si="9"/>
        <v>1</v>
      </c>
      <c r="I44" s="32">
        <f t="shared" si="9"/>
        <v>1</v>
      </c>
      <c r="J44" s="32">
        <f t="shared" si="9"/>
        <v>1</v>
      </c>
      <c r="K44" s="32">
        <f t="shared" si="9"/>
        <v>0</v>
      </c>
      <c r="L44" s="32">
        <f t="shared" si="9"/>
        <v>0</v>
      </c>
      <c r="M44" s="32">
        <f t="shared" si="9"/>
        <v>0</v>
      </c>
      <c r="N44" s="32">
        <f t="shared" si="9"/>
        <v>0</v>
      </c>
      <c r="O44" s="32">
        <f t="shared" si="9"/>
        <v>0</v>
      </c>
      <c r="P44" s="32">
        <f t="shared" si="9"/>
        <v>0</v>
      </c>
      <c r="Q44" s="13"/>
      <c r="S44" s="28"/>
    </row>
    <row r="45" spans="2:19" x14ac:dyDescent="0.35">
      <c r="B45" s="14"/>
      <c r="C45" s="15"/>
      <c r="D45" s="35" t="str">
        <f>D23</f>
        <v>Discounted</v>
      </c>
      <c r="E45" s="82">
        <f>SUM(F45:P45)</f>
        <v>8</v>
      </c>
      <c r="F45" s="82">
        <f>F44/(1+'Viability comparison'!$D$6)^0</f>
        <v>2</v>
      </c>
      <c r="G45" s="82">
        <f>G44/(1+'Viability comparison'!$D$6)^1</f>
        <v>3</v>
      </c>
      <c r="H45" s="82">
        <f>H44/(1+'Viability comparison'!$D$6)^2</f>
        <v>1</v>
      </c>
      <c r="I45" s="82">
        <f>I44/(1+'Viability comparison'!$D$6)^3</f>
        <v>1</v>
      </c>
      <c r="J45" s="82">
        <f>J44/(1+'Viability comparison'!$D$6)^4</f>
        <v>1</v>
      </c>
      <c r="K45" s="82">
        <f>K44/(1+'Viability comparison'!$D$6)^5</f>
        <v>0</v>
      </c>
      <c r="L45" s="82">
        <f>L44/(1+'Viability comparison'!$D$6)^6</f>
        <v>0</v>
      </c>
      <c r="M45" s="82">
        <f>M44/(1+'Viability comparison'!$D$6)^7</f>
        <v>0</v>
      </c>
      <c r="N45" s="82">
        <f>N44/(1+'Viability comparison'!$D$6)^8</f>
        <v>0</v>
      </c>
      <c r="O45" s="82">
        <f>O44/(1+'Viability comparison'!$D$6)^9</f>
        <v>0</v>
      </c>
      <c r="P45" s="82">
        <f>P44/(1+'Viability comparison'!$D$6)^10</f>
        <v>0</v>
      </c>
      <c r="Q45" s="13"/>
      <c r="S45" s="43"/>
    </row>
    <row r="46" spans="2:19" x14ac:dyDescent="0.35">
      <c r="B46" s="14"/>
      <c r="C46" s="15"/>
      <c r="D46" s="15"/>
      <c r="E46" s="15"/>
      <c r="F46" s="15"/>
      <c r="G46" s="15"/>
      <c r="H46" s="15"/>
      <c r="I46" s="15"/>
      <c r="J46" s="15"/>
      <c r="K46" s="15"/>
      <c r="L46" s="15"/>
      <c r="M46" s="15"/>
      <c r="N46" s="15"/>
      <c r="O46" s="15"/>
      <c r="P46" s="15"/>
      <c r="Q46" s="13"/>
      <c r="S46" s="43"/>
    </row>
    <row r="47" spans="2:19" x14ac:dyDescent="0.35">
      <c r="B47" s="14"/>
      <c r="C47" s="15" t="str">
        <f>C25</f>
        <v>Residual value (present value)</v>
      </c>
      <c r="D47" s="15"/>
      <c r="E47" s="44">
        <f>E25</f>
        <v>0</v>
      </c>
      <c r="F47" s="15"/>
      <c r="G47" s="15"/>
      <c r="H47" s="15"/>
      <c r="I47" s="15"/>
      <c r="J47" s="15"/>
      <c r="K47" s="15"/>
      <c r="L47" s="15"/>
      <c r="M47" s="15"/>
      <c r="N47" s="15"/>
      <c r="O47" s="15"/>
      <c r="P47" s="15"/>
      <c r="Q47" s="13"/>
      <c r="S47" s="43"/>
    </row>
    <row r="48" spans="2:19" ht="15" thickBot="1" x14ac:dyDescent="0.4">
      <c r="B48" s="16"/>
      <c r="C48" s="17"/>
      <c r="D48" s="17"/>
      <c r="E48" s="17"/>
      <c r="F48" s="17"/>
      <c r="G48" s="17"/>
      <c r="H48" s="17"/>
      <c r="I48" s="17"/>
      <c r="J48" s="17"/>
      <c r="K48" s="17"/>
      <c r="L48" s="17"/>
      <c r="M48" s="17"/>
      <c r="N48" s="17"/>
      <c r="O48" s="17"/>
      <c r="P48" s="17"/>
      <c r="Q48" s="18"/>
      <c r="S48" s="26"/>
    </row>
    <row r="49" spans="1:19" ht="15" thickBot="1" x14ac:dyDescent="0.4">
      <c r="A49" s="55" t="b">
        <f>(B51+B55+B63)&lt;&gt;0</f>
        <v>1</v>
      </c>
    </row>
    <row r="50" spans="1:19" x14ac:dyDescent="0.35">
      <c r="B50" s="19" t="s">
        <v>133</v>
      </c>
      <c r="C50" s="36"/>
      <c r="D50" s="20"/>
      <c r="E50" s="20"/>
      <c r="F50" s="20"/>
      <c r="G50" s="20"/>
      <c r="H50" s="20"/>
      <c r="I50" s="20"/>
      <c r="J50" s="20"/>
      <c r="K50" s="20"/>
      <c r="L50" s="20"/>
      <c r="M50" s="20"/>
      <c r="N50" s="20"/>
      <c r="O50" s="20"/>
      <c r="P50" s="20"/>
      <c r="Q50" s="21"/>
      <c r="S50" s="30"/>
    </row>
    <row r="51" spans="1:19" x14ac:dyDescent="0.35">
      <c r="B51" s="54" t="b" cm="1">
        <f t="array" ref="B51">SUMPRODUCT(--(F52:P54&lt;&gt;""))&lt;&gt;0</f>
        <v>0</v>
      </c>
      <c r="C51" s="15" t="s">
        <v>134</v>
      </c>
      <c r="D51" s="8"/>
      <c r="E51" s="8"/>
      <c r="F51" s="8"/>
      <c r="G51" s="8"/>
      <c r="H51" s="8"/>
      <c r="I51" s="8"/>
      <c r="J51" s="8"/>
      <c r="K51" s="8"/>
      <c r="L51" s="8"/>
      <c r="M51" s="8"/>
      <c r="N51" s="8"/>
      <c r="O51" s="8"/>
      <c r="P51" s="8"/>
      <c r="Q51" s="13"/>
      <c r="S51" s="27"/>
    </row>
    <row r="52" spans="1:19" x14ac:dyDescent="0.35">
      <c r="B52" s="14"/>
      <c r="C52" s="15"/>
      <c r="D52" s="8" t="s">
        <v>157</v>
      </c>
      <c r="E52" s="1">
        <f t="shared" ref="E52:E54" si="10">SUM(F52:P52)</f>
        <v>0</v>
      </c>
      <c r="F52" s="2"/>
      <c r="G52" s="2"/>
      <c r="H52" s="2"/>
      <c r="I52" s="2"/>
      <c r="J52" s="2"/>
      <c r="K52" s="2"/>
      <c r="L52" s="2"/>
      <c r="M52" s="2"/>
      <c r="N52" s="2"/>
      <c r="O52" s="2"/>
      <c r="P52" s="2"/>
      <c r="Q52" s="13"/>
      <c r="S52" s="27"/>
    </row>
    <row r="53" spans="1:19" x14ac:dyDescent="0.35">
      <c r="B53" s="14"/>
      <c r="C53" s="8"/>
      <c r="D53" s="8" t="s">
        <v>135</v>
      </c>
      <c r="E53" s="1">
        <f t="shared" si="10"/>
        <v>0</v>
      </c>
      <c r="F53" s="2"/>
      <c r="G53" s="2"/>
      <c r="H53" s="2"/>
      <c r="I53" s="2"/>
      <c r="J53" s="2"/>
      <c r="K53" s="2"/>
      <c r="L53" s="2"/>
      <c r="M53" s="2"/>
      <c r="N53" s="2"/>
      <c r="O53" s="2"/>
      <c r="P53" s="2"/>
      <c r="Q53" s="13"/>
      <c r="S53" s="28"/>
    </row>
    <row r="54" spans="1:19" x14ac:dyDescent="0.35">
      <c r="B54" s="14"/>
      <c r="C54" s="8"/>
      <c r="D54" s="8" t="s">
        <v>136</v>
      </c>
      <c r="E54" s="1">
        <f t="shared" si="10"/>
        <v>0</v>
      </c>
      <c r="F54" s="2"/>
      <c r="G54" s="2"/>
      <c r="H54" s="2"/>
      <c r="I54" s="2"/>
      <c r="J54" s="2"/>
      <c r="K54" s="2"/>
      <c r="L54" s="2"/>
      <c r="M54" s="2"/>
      <c r="N54" s="2"/>
      <c r="O54" s="2"/>
      <c r="P54" s="2"/>
      <c r="Q54" s="13"/>
      <c r="S54" s="28"/>
    </row>
    <row r="55" spans="1:19" x14ac:dyDescent="0.35">
      <c r="B55" s="54" t="b" cm="1">
        <f t="array" ref="B55">SUMPRODUCT(--(F56:P62&lt;&gt;""))&lt;&gt;0</f>
        <v>1</v>
      </c>
      <c r="C55" s="15" t="s">
        <v>137</v>
      </c>
      <c r="D55" s="8"/>
      <c r="E55" s="8"/>
      <c r="F55" s="8"/>
      <c r="G55" s="8"/>
      <c r="H55" s="8"/>
      <c r="I55" s="8"/>
      <c r="J55" s="8"/>
      <c r="K55" s="8"/>
      <c r="L55" s="8"/>
      <c r="M55" s="8"/>
      <c r="N55" s="8"/>
      <c r="O55" s="8"/>
      <c r="P55" s="8"/>
      <c r="Q55" s="13"/>
      <c r="S55" s="28"/>
    </row>
    <row r="56" spans="1:19" x14ac:dyDescent="0.35">
      <c r="B56" s="14"/>
      <c r="C56" s="15"/>
      <c r="D56" s="8" t="s">
        <v>158</v>
      </c>
      <c r="E56" s="1">
        <f t="shared" ref="E56:E62" si="11">SUM(F56:P56)</f>
        <v>0</v>
      </c>
      <c r="F56" s="2"/>
      <c r="G56" s="2"/>
      <c r="H56" s="2"/>
      <c r="I56" s="2"/>
      <c r="J56" s="2"/>
      <c r="K56" s="2"/>
      <c r="L56" s="2"/>
      <c r="M56" s="2"/>
      <c r="N56" s="2"/>
      <c r="O56" s="2"/>
      <c r="P56" s="2"/>
      <c r="Q56" s="13"/>
      <c r="S56" s="28"/>
    </row>
    <row r="57" spans="1:19" x14ac:dyDescent="0.35">
      <c r="B57" s="14"/>
      <c r="C57" s="8"/>
      <c r="D57" s="8" t="s">
        <v>138</v>
      </c>
      <c r="E57" s="1">
        <f t="shared" si="11"/>
        <v>0</v>
      </c>
      <c r="F57" s="2"/>
      <c r="G57" s="2"/>
      <c r="H57" s="2"/>
      <c r="I57" s="2"/>
      <c r="J57" s="2"/>
      <c r="K57" s="2"/>
      <c r="L57" s="2"/>
      <c r="M57" s="2"/>
      <c r="N57" s="2"/>
      <c r="O57" s="2"/>
      <c r="P57" s="2"/>
      <c r="Q57" s="13"/>
      <c r="S57" s="28"/>
    </row>
    <row r="58" spans="1:19" x14ac:dyDescent="0.35">
      <c r="B58" s="14"/>
      <c r="C58" s="8"/>
      <c r="D58" s="8" t="s">
        <v>139</v>
      </c>
      <c r="E58" s="1">
        <f t="shared" si="11"/>
        <v>0</v>
      </c>
      <c r="F58" s="2"/>
      <c r="G58" s="2"/>
      <c r="H58" s="2"/>
      <c r="I58" s="2"/>
      <c r="J58" s="2"/>
      <c r="K58" s="2"/>
      <c r="L58" s="2"/>
      <c r="M58" s="2"/>
      <c r="N58" s="2"/>
      <c r="O58" s="2"/>
      <c r="P58" s="2"/>
      <c r="Q58" s="13"/>
      <c r="S58" s="28"/>
    </row>
    <row r="59" spans="1:19" x14ac:dyDescent="0.35">
      <c r="B59" s="14"/>
      <c r="C59" s="8"/>
      <c r="D59" s="8" t="s">
        <v>140</v>
      </c>
      <c r="E59" s="1">
        <f t="shared" si="11"/>
        <v>0</v>
      </c>
      <c r="F59" s="2"/>
      <c r="G59" s="2"/>
      <c r="H59" s="2"/>
      <c r="I59" s="2"/>
      <c r="J59" s="2"/>
      <c r="K59" s="2"/>
      <c r="L59" s="2"/>
      <c r="M59" s="2"/>
      <c r="N59" s="2"/>
      <c r="O59" s="2"/>
      <c r="P59" s="2"/>
      <c r="Q59" s="13"/>
      <c r="S59" s="28"/>
    </row>
    <row r="60" spans="1:19" x14ac:dyDescent="0.35">
      <c r="B60" s="14"/>
      <c r="C60" s="8"/>
      <c r="D60" s="8" t="s">
        <v>141</v>
      </c>
      <c r="E60" s="1">
        <f t="shared" si="11"/>
        <v>0</v>
      </c>
      <c r="F60" s="2"/>
      <c r="G60" s="2"/>
      <c r="H60" s="2"/>
      <c r="I60" s="2"/>
      <c r="J60" s="2"/>
      <c r="K60" s="2"/>
      <c r="L60" s="2"/>
      <c r="M60" s="2"/>
      <c r="N60" s="2"/>
      <c r="O60" s="2"/>
      <c r="P60" s="2"/>
      <c r="Q60" s="13"/>
      <c r="S60" s="28"/>
    </row>
    <row r="61" spans="1:19" x14ac:dyDescent="0.35">
      <c r="B61" s="14"/>
      <c r="C61" s="8"/>
      <c r="D61" s="8" t="s">
        <v>171</v>
      </c>
      <c r="E61" s="1">
        <f t="shared" si="11"/>
        <v>4.5</v>
      </c>
      <c r="F61" s="2"/>
      <c r="G61" s="2"/>
      <c r="H61" s="2">
        <v>0.5</v>
      </c>
      <c r="I61" s="2">
        <v>0.5</v>
      </c>
      <c r="J61" s="2">
        <v>0.5</v>
      </c>
      <c r="K61" s="2">
        <v>0.5</v>
      </c>
      <c r="L61" s="2">
        <v>0.5</v>
      </c>
      <c r="M61" s="2">
        <v>0.5</v>
      </c>
      <c r="N61" s="2">
        <v>0.5</v>
      </c>
      <c r="O61" s="2">
        <v>0.5</v>
      </c>
      <c r="P61" s="2">
        <v>0.5</v>
      </c>
      <c r="Q61" s="13"/>
      <c r="S61" s="28"/>
    </row>
    <row r="62" spans="1:19" x14ac:dyDescent="0.35">
      <c r="B62" s="14"/>
      <c r="C62" s="8"/>
      <c r="D62" s="8" t="s">
        <v>142</v>
      </c>
      <c r="E62" s="1">
        <f t="shared" si="11"/>
        <v>9</v>
      </c>
      <c r="F62" s="2"/>
      <c r="G62" s="2"/>
      <c r="H62" s="2">
        <v>1</v>
      </c>
      <c r="I62" s="2">
        <v>1</v>
      </c>
      <c r="J62" s="2">
        <v>1</v>
      </c>
      <c r="K62" s="2">
        <v>1</v>
      </c>
      <c r="L62" s="2">
        <v>1</v>
      </c>
      <c r="M62" s="2">
        <v>1</v>
      </c>
      <c r="N62" s="2">
        <v>1</v>
      </c>
      <c r="O62" s="2">
        <v>1</v>
      </c>
      <c r="P62" s="2">
        <v>1</v>
      </c>
      <c r="Q62" s="13"/>
      <c r="S62" s="28"/>
    </row>
    <row r="63" spans="1:19" x14ac:dyDescent="0.35">
      <c r="B63" s="54" t="b" cm="1">
        <f t="array" ref="B63">SUMPRODUCT(--(F64:P66&lt;&gt;""))&lt;&gt;0</f>
        <v>1</v>
      </c>
      <c r="C63" s="15" t="s">
        <v>143</v>
      </c>
      <c r="D63" s="8"/>
      <c r="E63" s="8"/>
      <c r="F63" s="8"/>
      <c r="G63" s="8"/>
      <c r="H63" s="8"/>
      <c r="I63" s="8"/>
      <c r="J63" s="8"/>
      <c r="K63" s="8"/>
      <c r="L63" s="8"/>
      <c r="M63" s="8"/>
      <c r="N63" s="8"/>
      <c r="O63" s="8"/>
      <c r="P63" s="8"/>
      <c r="Q63" s="13"/>
      <c r="S63" s="28"/>
    </row>
    <row r="64" spans="1:19" x14ac:dyDescent="0.35">
      <c r="B64" s="14"/>
      <c r="C64" s="8"/>
      <c r="D64" s="8" t="s">
        <v>126</v>
      </c>
      <c r="E64" s="1">
        <f t="shared" ref="E64:E66" si="12">SUM(F64:P64)</f>
        <v>9</v>
      </c>
      <c r="F64" s="2"/>
      <c r="G64" s="2"/>
      <c r="H64" s="2">
        <v>1</v>
      </c>
      <c r="I64" s="2">
        <v>1</v>
      </c>
      <c r="J64" s="2">
        <v>1</v>
      </c>
      <c r="K64" s="2">
        <v>1</v>
      </c>
      <c r="L64" s="2">
        <v>1</v>
      </c>
      <c r="M64" s="2">
        <v>1</v>
      </c>
      <c r="N64" s="2">
        <v>1</v>
      </c>
      <c r="O64" s="2">
        <v>1</v>
      </c>
      <c r="P64" s="2">
        <v>1</v>
      </c>
      <c r="Q64" s="13"/>
      <c r="S64" s="28"/>
    </row>
    <row r="65" spans="1:19" x14ac:dyDescent="0.35">
      <c r="B65" s="14"/>
      <c r="C65" s="8"/>
      <c r="D65" s="8" t="s">
        <v>127</v>
      </c>
      <c r="E65" s="1">
        <f t="shared" si="12"/>
        <v>9</v>
      </c>
      <c r="F65" s="2"/>
      <c r="G65" s="2"/>
      <c r="H65" s="2">
        <v>1</v>
      </c>
      <c r="I65" s="2">
        <v>1</v>
      </c>
      <c r="J65" s="2">
        <v>1</v>
      </c>
      <c r="K65" s="2">
        <v>1</v>
      </c>
      <c r="L65" s="2">
        <v>1</v>
      </c>
      <c r="M65" s="2">
        <v>1</v>
      </c>
      <c r="N65" s="2">
        <v>1</v>
      </c>
      <c r="O65" s="2">
        <v>1</v>
      </c>
      <c r="P65" s="2">
        <v>1</v>
      </c>
      <c r="Q65" s="13"/>
      <c r="S65" s="28"/>
    </row>
    <row r="66" spans="1:19" ht="15" thickBot="1" x14ac:dyDescent="0.4">
      <c r="B66" s="14"/>
      <c r="C66" s="8"/>
      <c r="D66" s="8" t="s">
        <v>156</v>
      </c>
      <c r="E66" s="31">
        <f t="shared" si="12"/>
        <v>0</v>
      </c>
      <c r="F66" s="45"/>
      <c r="G66" s="45"/>
      <c r="H66" s="45"/>
      <c r="I66" s="45"/>
      <c r="J66" s="45"/>
      <c r="K66" s="45"/>
      <c r="L66" s="45"/>
      <c r="M66" s="45"/>
      <c r="N66" s="45"/>
      <c r="O66" s="45"/>
      <c r="P66" s="45"/>
      <c r="Q66" s="13"/>
      <c r="S66" s="28"/>
    </row>
    <row r="67" spans="1:19" ht="15" thickTop="1" x14ac:dyDescent="0.35">
      <c r="B67" s="14"/>
      <c r="C67" s="15" t="s">
        <v>144</v>
      </c>
      <c r="D67" s="15"/>
      <c r="E67" s="83">
        <f t="shared" ref="E67:P67" si="13">SUM(E52:E54,E56:E62,E64:E66)</f>
        <v>31.5</v>
      </c>
      <c r="F67" s="83">
        <f t="shared" si="13"/>
        <v>0</v>
      </c>
      <c r="G67" s="83">
        <f t="shared" si="13"/>
        <v>0</v>
      </c>
      <c r="H67" s="83">
        <f t="shared" si="13"/>
        <v>3.5</v>
      </c>
      <c r="I67" s="83">
        <f t="shared" si="13"/>
        <v>3.5</v>
      </c>
      <c r="J67" s="83">
        <f t="shared" si="13"/>
        <v>3.5</v>
      </c>
      <c r="K67" s="83">
        <f t="shared" si="13"/>
        <v>3.5</v>
      </c>
      <c r="L67" s="83">
        <f t="shared" si="13"/>
        <v>3.5</v>
      </c>
      <c r="M67" s="83">
        <f t="shared" si="13"/>
        <v>3.5</v>
      </c>
      <c r="N67" s="83">
        <f t="shared" si="13"/>
        <v>3.5</v>
      </c>
      <c r="O67" s="83">
        <f t="shared" si="13"/>
        <v>3.5</v>
      </c>
      <c r="P67" s="83">
        <f t="shared" si="13"/>
        <v>3.5</v>
      </c>
      <c r="Q67" s="13"/>
      <c r="S67" s="28"/>
    </row>
    <row r="68" spans="1:19" x14ac:dyDescent="0.35">
      <c r="B68" s="14"/>
      <c r="C68" s="8"/>
      <c r="D68" s="35" t="s">
        <v>1</v>
      </c>
      <c r="E68" s="82">
        <f>SUM(F68:P68)</f>
        <v>31.5</v>
      </c>
      <c r="F68" s="82">
        <f>F67/(1+'Viability comparison'!$D$6)^0</f>
        <v>0</v>
      </c>
      <c r="G68" s="82">
        <f>G67/(1+'Viability comparison'!$D$6)^1</f>
        <v>0</v>
      </c>
      <c r="H68" s="82">
        <f>H67/(1+'Viability comparison'!$D$6)^2</f>
        <v>3.5</v>
      </c>
      <c r="I68" s="82">
        <f>I67/(1+'Viability comparison'!$D$6)^3</f>
        <v>3.5</v>
      </c>
      <c r="J68" s="82">
        <f>J67/(1+'Viability comparison'!$D$6)^4</f>
        <v>3.5</v>
      </c>
      <c r="K68" s="82">
        <f>K67/(1+'Viability comparison'!$D$6)^5</f>
        <v>3.5</v>
      </c>
      <c r="L68" s="82">
        <f>L67/(1+'Viability comparison'!$D$6)^6</f>
        <v>3.5</v>
      </c>
      <c r="M68" s="82">
        <f>M67/(1+'Viability comparison'!$D$6)^7</f>
        <v>3.5</v>
      </c>
      <c r="N68" s="82">
        <f>N67/(1+'Viability comparison'!$D$6)^8</f>
        <v>3.5</v>
      </c>
      <c r="O68" s="82">
        <f>O67/(1+'Viability comparison'!$D$6)^9</f>
        <v>3.5</v>
      </c>
      <c r="P68" s="82">
        <f>P67/(1+'Viability comparison'!$D$6)^10</f>
        <v>3.5</v>
      </c>
      <c r="Q68" s="13"/>
      <c r="S68" s="43"/>
    </row>
    <row r="69" spans="1:19" x14ac:dyDescent="0.35">
      <c r="B69" s="14"/>
      <c r="C69" s="8"/>
      <c r="D69" s="35" t="s">
        <v>2</v>
      </c>
      <c r="E69" s="82">
        <f>SUM(F69:P69)</f>
        <v>31.5</v>
      </c>
      <c r="F69" s="82">
        <f>F67 / (1+'Viability comparison'!$D$18)^0</f>
        <v>0</v>
      </c>
      <c r="G69" s="82">
        <f>G67 / (1+'Viability comparison'!$D$18)^1</f>
        <v>0</v>
      </c>
      <c r="H69" s="82">
        <f>H67 / (1+'Viability comparison'!$D$18)^2</f>
        <v>3.5</v>
      </c>
      <c r="I69" s="82">
        <f>I67 / (1+'Viability comparison'!$D$18)^3</f>
        <v>3.5</v>
      </c>
      <c r="J69" s="82">
        <f>J67 / (1+'Viability comparison'!$D$18)^4</f>
        <v>3.5</v>
      </c>
      <c r="K69" s="82">
        <f>K67 / (1+'Viability comparison'!$D$18)^5</f>
        <v>3.5</v>
      </c>
      <c r="L69" s="82">
        <f>L67 / (1+'Viability comparison'!$D$18)^6</f>
        <v>3.5</v>
      </c>
      <c r="M69" s="82">
        <f>M67 / (1+'Viability comparison'!$D$18)^7</f>
        <v>3.5</v>
      </c>
      <c r="N69" s="82">
        <f>N67 / (1+'Viability comparison'!$D$18)^8</f>
        <v>3.5</v>
      </c>
      <c r="O69" s="82">
        <f>O67 / (1+'Viability comparison'!$D$18)^9</f>
        <v>3.5</v>
      </c>
      <c r="P69" s="82">
        <f>P67 / (1+'Viability comparison'!$D$18)^10</f>
        <v>3.5</v>
      </c>
      <c r="Q69" s="13"/>
      <c r="S69" s="43"/>
    </row>
    <row r="70" spans="1:19" ht="15" thickBot="1" x14ac:dyDescent="0.4">
      <c r="B70" s="16"/>
      <c r="C70" s="17"/>
      <c r="D70" s="17"/>
      <c r="E70" s="17"/>
      <c r="F70" s="17"/>
      <c r="G70" s="17"/>
      <c r="H70" s="17"/>
      <c r="I70" s="17"/>
      <c r="J70" s="17"/>
      <c r="K70" s="17"/>
      <c r="L70" s="17"/>
      <c r="M70" s="17"/>
      <c r="N70" s="17"/>
      <c r="O70" s="17"/>
      <c r="P70" s="17"/>
      <c r="Q70" s="18"/>
      <c r="S70" s="26"/>
    </row>
    <row r="71" spans="1:19" ht="15" thickBot="1" x14ac:dyDescent="0.4"/>
    <row r="72" spans="1:19" ht="15" thickBot="1" x14ac:dyDescent="0.4">
      <c r="B72" s="22" t="s">
        <v>146</v>
      </c>
      <c r="C72" s="33"/>
      <c r="D72" s="23"/>
      <c r="E72" s="33">
        <f t="shared" ref="E72:P72" si="14">SUM(E22,E67)</f>
        <v>39.5</v>
      </c>
      <c r="F72" s="33">
        <f t="shared" si="14"/>
        <v>2</v>
      </c>
      <c r="G72" s="33">
        <f t="shared" si="14"/>
        <v>6</v>
      </c>
      <c r="H72" s="33">
        <f t="shared" si="14"/>
        <v>3.5</v>
      </c>
      <c r="I72" s="33">
        <f t="shared" si="14"/>
        <v>3.5</v>
      </c>
      <c r="J72" s="33">
        <f t="shared" si="14"/>
        <v>3.5</v>
      </c>
      <c r="K72" s="33">
        <f t="shared" si="14"/>
        <v>3.5</v>
      </c>
      <c r="L72" s="33">
        <f t="shared" si="14"/>
        <v>3.5</v>
      </c>
      <c r="M72" s="33">
        <f t="shared" si="14"/>
        <v>3.5</v>
      </c>
      <c r="N72" s="33">
        <f t="shared" si="14"/>
        <v>3.5</v>
      </c>
      <c r="O72" s="33">
        <f t="shared" si="14"/>
        <v>3.5</v>
      </c>
      <c r="P72" s="33">
        <f t="shared" si="14"/>
        <v>3.5</v>
      </c>
      <c r="Q72" s="24"/>
    </row>
    <row r="73" spans="1:19" ht="15" thickBot="1" x14ac:dyDescent="0.4">
      <c r="B73" s="22" t="s">
        <v>147</v>
      </c>
      <c r="C73" s="33"/>
      <c r="D73" s="23"/>
      <c r="E73" s="33">
        <f t="shared" ref="E73:P73" si="15">SUM(E44,E70)</f>
        <v>8</v>
      </c>
      <c r="F73" s="33">
        <f t="shared" si="15"/>
        <v>2</v>
      </c>
      <c r="G73" s="33">
        <f t="shared" si="15"/>
        <v>3</v>
      </c>
      <c r="H73" s="33">
        <f t="shared" si="15"/>
        <v>1</v>
      </c>
      <c r="I73" s="33">
        <f t="shared" si="15"/>
        <v>1</v>
      </c>
      <c r="J73" s="33">
        <f t="shared" si="15"/>
        <v>1</v>
      </c>
      <c r="K73" s="33">
        <f t="shared" si="15"/>
        <v>0</v>
      </c>
      <c r="L73" s="33">
        <f t="shared" si="15"/>
        <v>0</v>
      </c>
      <c r="M73" s="33">
        <f t="shared" si="15"/>
        <v>0</v>
      </c>
      <c r="N73" s="33">
        <f t="shared" si="15"/>
        <v>0</v>
      </c>
      <c r="O73" s="33">
        <f t="shared" si="15"/>
        <v>0</v>
      </c>
      <c r="P73" s="33">
        <f t="shared" si="15"/>
        <v>0</v>
      </c>
      <c r="Q73" s="24"/>
    </row>
    <row r="74" spans="1:19" ht="15" thickBot="1" x14ac:dyDescent="0.4">
      <c r="A74" s="55" t="b">
        <f>(B76+B81+B85+B89+B97+B101)&lt;&gt;0</f>
        <v>1</v>
      </c>
    </row>
    <row r="75" spans="1:19" x14ac:dyDescent="0.35">
      <c r="B75" s="19" t="s">
        <v>148</v>
      </c>
      <c r="C75" s="36"/>
      <c r="D75" s="20"/>
      <c r="E75" s="20"/>
      <c r="F75" s="20"/>
      <c r="G75" s="20"/>
      <c r="H75" s="20"/>
      <c r="I75" s="20"/>
      <c r="J75" s="20"/>
      <c r="K75" s="20"/>
      <c r="L75" s="20"/>
      <c r="M75" s="20"/>
      <c r="N75" s="20"/>
      <c r="O75" s="20"/>
      <c r="P75" s="20"/>
      <c r="Q75" s="21"/>
      <c r="S75" s="30"/>
    </row>
    <row r="76" spans="1:19" x14ac:dyDescent="0.35">
      <c r="B76" s="54" t="b" cm="1">
        <f t="array" ref="B76">SUMPRODUCT(--(F77:P80&lt;&gt;""))&lt;&gt;0</f>
        <v>0</v>
      </c>
      <c r="C76" s="15" t="s">
        <v>149</v>
      </c>
      <c r="D76" s="8"/>
      <c r="E76" s="8"/>
      <c r="F76" s="8"/>
      <c r="G76" s="8"/>
      <c r="H76" s="8"/>
      <c r="I76" s="8"/>
      <c r="J76" s="8"/>
      <c r="K76" s="8"/>
      <c r="L76" s="8"/>
      <c r="M76" s="8"/>
      <c r="N76" s="8"/>
      <c r="O76" s="8"/>
      <c r="P76" s="8"/>
      <c r="Q76" s="13"/>
      <c r="S76" s="27"/>
    </row>
    <row r="77" spans="1:19" x14ac:dyDescent="0.35">
      <c r="B77" s="14"/>
      <c r="C77" s="8"/>
      <c r="D77" s="8" t="s">
        <v>150</v>
      </c>
      <c r="E77" s="1">
        <f t="shared" ref="E77:E80" si="16">SUM(F77:P77)</f>
        <v>0</v>
      </c>
      <c r="F77" s="2"/>
      <c r="G77" s="2"/>
      <c r="H77" s="2"/>
      <c r="I77" s="2"/>
      <c r="J77" s="2"/>
      <c r="K77" s="2"/>
      <c r="L77" s="2"/>
      <c r="M77" s="2"/>
      <c r="N77" s="2"/>
      <c r="O77" s="2"/>
      <c r="P77" s="2"/>
      <c r="Q77" s="13"/>
      <c r="S77" s="28"/>
    </row>
    <row r="78" spans="1:19" x14ac:dyDescent="0.35">
      <c r="B78" s="14"/>
      <c r="C78" s="8"/>
      <c r="D78" s="8" t="s">
        <v>151</v>
      </c>
      <c r="E78" s="1">
        <f>SUM(F78:P78)</f>
        <v>0</v>
      </c>
      <c r="F78" s="2"/>
      <c r="G78" s="2"/>
      <c r="H78" s="2"/>
      <c r="I78" s="2"/>
      <c r="J78" s="2"/>
      <c r="K78" s="2"/>
      <c r="L78" s="2"/>
      <c r="M78" s="2"/>
      <c r="N78" s="2"/>
      <c r="O78" s="2"/>
      <c r="P78" s="2"/>
      <c r="Q78" s="13"/>
      <c r="S78" s="28"/>
    </row>
    <row r="79" spans="1:19" x14ac:dyDescent="0.35">
      <c r="B79" s="14"/>
      <c r="C79" s="8"/>
      <c r="D79" s="8" t="s">
        <v>153</v>
      </c>
      <c r="E79" s="1">
        <f t="shared" si="16"/>
        <v>0</v>
      </c>
      <c r="F79" s="2"/>
      <c r="G79" s="2"/>
      <c r="H79" s="2"/>
      <c r="I79" s="2"/>
      <c r="J79" s="2"/>
      <c r="K79" s="2"/>
      <c r="L79" s="2"/>
      <c r="M79" s="2"/>
      <c r="N79" s="2"/>
      <c r="O79" s="2"/>
      <c r="P79" s="2"/>
      <c r="Q79" s="13"/>
      <c r="S79" s="28"/>
    </row>
    <row r="80" spans="1:19" x14ac:dyDescent="0.35">
      <c r="B80" s="14"/>
      <c r="C80" s="8"/>
      <c r="D80" s="8" t="s">
        <v>152</v>
      </c>
      <c r="E80" s="1">
        <f t="shared" si="16"/>
        <v>0</v>
      </c>
      <c r="F80" s="2"/>
      <c r="G80" s="2"/>
      <c r="H80" s="2"/>
      <c r="I80" s="2"/>
      <c r="J80" s="2"/>
      <c r="K80" s="2"/>
      <c r="L80" s="2"/>
      <c r="M80" s="2"/>
      <c r="N80" s="2"/>
      <c r="O80" s="2"/>
      <c r="P80" s="2"/>
      <c r="Q80" s="13"/>
      <c r="S80" s="28"/>
    </row>
    <row r="81" spans="2:19" x14ac:dyDescent="0.35">
      <c r="B81" s="54" t="b" cm="1">
        <f t="array" ref="B81">SUMPRODUCT(--(F82:P84&lt;&gt;""))&lt;&gt;0</f>
        <v>1</v>
      </c>
      <c r="C81" s="15" t="s">
        <v>154</v>
      </c>
      <c r="D81" s="8"/>
      <c r="E81" s="8"/>
      <c r="F81" s="8"/>
      <c r="G81" s="8"/>
      <c r="H81" s="8"/>
      <c r="I81" s="8"/>
      <c r="J81" s="8"/>
      <c r="K81" s="8"/>
      <c r="L81" s="8"/>
      <c r="M81" s="8"/>
      <c r="N81" s="8"/>
      <c r="O81" s="8"/>
      <c r="P81" s="8"/>
      <c r="Q81" s="13"/>
      <c r="S81" s="28"/>
    </row>
    <row r="82" spans="2:19" x14ac:dyDescent="0.35">
      <c r="B82" s="14"/>
      <c r="C82" s="8"/>
      <c r="D82" s="8" t="s">
        <v>155</v>
      </c>
      <c r="E82" s="1">
        <f t="shared" ref="E82:E84" si="17">SUM(F82:P82)</f>
        <v>27</v>
      </c>
      <c r="F82" s="2"/>
      <c r="G82" s="2"/>
      <c r="H82" s="2">
        <v>3</v>
      </c>
      <c r="I82" s="2">
        <v>3</v>
      </c>
      <c r="J82" s="2">
        <v>3</v>
      </c>
      <c r="K82" s="2">
        <v>3</v>
      </c>
      <c r="L82" s="2">
        <v>3</v>
      </c>
      <c r="M82" s="2">
        <v>3</v>
      </c>
      <c r="N82" s="2">
        <v>3</v>
      </c>
      <c r="O82" s="2">
        <v>3</v>
      </c>
      <c r="P82" s="2">
        <v>3</v>
      </c>
      <c r="Q82" s="13"/>
      <c r="S82" s="28"/>
    </row>
    <row r="83" spans="2:19" x14ac:dyDescent="0.35">
      <c r="B83" s="14"/>
      <c r="C83" s="8"/>
      <c r="D83" s="8" t="s">
        <v>159</v>
      </c>
      <c r="E83" s="1">
        <f t="shared" si="17"/>
        <v>0</v>
      </c>
      <c r="F83" s="2"/>
      <c r="G83" s="2"/>
      <c r="H83" s="2"/>
      <c r="I83" s="2"/>
      <c r="J83" s="2"/>
      <c r="K83" s="2"/>
      <c r="L83" s="2"/>
      <c r="M83" s="2"/>
      <c r="N83" s="2"/>
      <c r="O83" s="2"/>
      <c r="P83" s="2"/>
      <c r="Q83" s="13"/>
      <c r="S83" s="28"/>
    </row>
    <row r="84" spans="2:19" x14ac:dyDescent="0.35">
      <c r="B84" s="14"/>
      <c r="C84" s="8"/>
      <c r="D84" s="8" t="s">
        <v>160</v>
      </c>
      <c r="E84" s="1">
        <f t="shared" si="17"/>
        <v>0</v>
      </c>
      <c r="F84" s="2"/>
      <c r="G84" s="2"/>
      <c r="H84" s="2"/>
      <c r="I84" s="2"/>
      <c r="J84" s="2"/>
      <c r="K84" s="2"/>
      <c r="L84" s="2"/>
      <c r="M84" s="2"/>
      <c r="N84" s="2"/>
      <c r="O84" s="2"/>
      <c r="P84" s="2"/>
      <c r="Q84" s="13"/>
      <c r="S84" s="28"/>
    </row>
    <row r="85" spans="2:19" x14ac:dyDescent="0.35">
      <c r="B85" s="54" t="b" cm="1">
        <f t="array" ref="B85">SUMPRODUCT(--(F86:P88&lt;&gt;""))&lt;&gt;0</f>
        <v>1</v>
      </c>
      <c r="C85" s="15" t="s">
        <v>161</v>
      </c>
      <c r="D85" s="8"/>
      <c r="E85" s="8"/>
      <c r="F85" s="8"/>
      <c r="G85" s="8"/>
      <c r="H85" s="8"/>
      <c r="I85" s="8"/>
      <c r="J85" s="8"/>
      <c r="K85" s="8"/>
      <c r="L85" s="8"/>
      <c r="M85" s="8"/>
      <c r="N85" s="8"/>
      <c r="O85" s="8"/>
      <c r="P85" s="8"/>
      <c r="Q85" s="13"/>
      <c r="S85" s="28"/>
    </row>
    <row r="86" spans="2:19" x14ac:dyDescent="0.35">
      <c r="B86" s="14"/>
      <c r="C86" s="8"/>
      <c r="D86" s="8" t="s">
        <v>162</v>
      </c>
      <c r="E86" s="1">
        <f t="shared" ref="E86:E88" si="18">SUM(F86:P86)</f>
        <v>0</v>
      </c>
      <c r="F86" s="2"/>
      <c r="G86" s="2"/>
      <c r="H86" s="2"/>
      <c r="I86" s="2"/>
      <c r="J86" s="2"/>
      <c r="K86" s="2"/>
      <c r="L86" s="2"/>
      <c r="M86" s="2"/>
      <c r="N86" s="2"/>
      <c r="O86" s="2"/>
      <c r="P86" s="2"/>
      <c r="Q86" s="13"/>
      <c r="S86" s="28"/>
    </row>
    <row r="87" spans="2:19" x14ac:dyDescent="0.35">
      <c r="B87" s="14"/>
      <c r="C87" s="8"/>
      <c r="D87" s="8" t="s">
        <v>163</v>
      </c>
      <c r="E87" s="1">
        <f t="shared" si="18"/>
        <v>1</v>
      </c>
      <c r="F87" s="2"/>
      <c r="G87" s="2"/>
      <c r="H87" s="2"/>
      <c r="I87" s="2">
        <v>1</v>
      </c>
      <c r="J87" s="2"/>
      <c r="K87" s="2"/>
      <c r="L87" s="2"/>
      <c r="M87" s="2"/>
      <c r="N87" s="2"/>
      <c r="O87" s="2"/>
      <c r="P87" s="2"/>
      <c r="Q87" s="13"/>
      <c r="S87" s="28"/>
    </row>
    <row r="88" spans="2:19" x14ac:dyDescent="0.35">
      <c r="B88" s="14"/>
      <c r="C88" s="8"/>
      <c r="D88" s="8" t="s">
        <v>164</v>
      </c>
      <c r="E88" s="1">
        <f t="shared" si="18"/>
        <v>0</v>
      </c>
      <c r="F88" s="2"/>
      <c r="G88" s="2"/>
      <c r="H88" s="2"/>
      <c r="I88" s="2"/>
      <c r="J88" s="2"/>
      <c r="K88" s="2"/>
      <c r="L88" s="2"/>
      <c r="M88" s="2"/>
      <c r="N88" s="2"/>
      <c r="O88" s="2"/>
      <c r="P88" s="2"/>
      <c r="Q88" s="13"/>
      <c r="S88" s="28"/>
    </row>
    <row r="89" spans="2:19" x14ac:dyDescent="0.35">
      <c r="B89" s="54" t="b" cm="1">
        <f t="array" ref="B89">SUMPRODUCT(--(F90:P96&lt;&gt;""))&lt;&gt;0</f>
        <v>1</v>
      </c>
      <c r="C89" s="15" t="s">
        <v>165</v>
      </c>
      <c r="D89" s="8"/>
      <c r="E89" s="8"/>
      <c r="F89" s="8"/>
      <c r="G89" s="8"/>
      <c r="H89" s="8"/>
      <c r="I89" s="8"/>
      <c r="J89" s="8"/>
      <c r="K89" s="8"/>
      <c r="L89" s="8"/>
      <c r="M89" s="8"/>
      <c r="N89" s="8"/>
      <c r="O89" s="8"/>
      <c r="P89" s="8"/>
      <c r="Q89" s="13"/>
      <c r="S89" s="28"/>
    </row>
    <row r="90" spans="2:19" x14ac:dyDescent="0.35">
      <c r="B90" s="14"/>
      <c r="C90" s="15"/>
      <c r="D90" s="8" t="s">
        <v>166</v>
      </c>
      <c r="E90" s="1">
        <f t="shared" ref="E90:E96" si="19">SUM(F90:P90)</f>
        <v>0</v>
      </c>
      <c r="F90" s="2"/>
      <c r="G90" s="2"/>
      <c r="H90" s="2"/>
      <c r="I90" s="2"/>
      <c r="J90" s="2"/>
      <c r="K90" s="2"/>
      <c r="L90" s="2"/>
      <c r="M90" s="2"/>
      <c r="N90" s="2"/>
      <c r="O90" s="2"/>
      <c r="P90" s="2"/>
      <c r="Q90" s="13"/>
      <c r="S90" s="28"/>
    </row>
    <row r="91" spans="2:19" x14ac:dyDescent="0.35">
      <c r="B91" s="14"/>
      <c r="C91" s="15"/>
      <c r="D91" s="8" t="s">
        <v>167</v>
      </c>
      <c r="E91" s="1">
        <f t="shared" si="19"/>
        <v>0</v>
      </c>
      <c r="F91" s="2"/>
      <c r="G91" s="2"/>
      <c r="H91" s="2"/>
      <c r="I91" s="2"/>
      <c r="J91" s="2"/>
      <c r="K91" s="2"/>
      <c r="L91" s="2"/>
      <c r="M91" s="2"/>
      <c r="N91" s="2"/>
      <c r="O91" s="2"/>
      <c r="P91" s="2"/>
      <c r="Q91" s="13"/>
      <c r="S91" s="28"/>
    </row>
    <row r="92" spans="2:19" x14ac:dyDescent="0.35">
      <c r="B92" s="14"/>
      <c r="C92" s="15"/>
      <c r="D92" s="8" t="s">
        <v>168</v>
      </c>
      <c r="E92" s="1">
        <f t="shared" si="19"/>
        <v>0</v>
      </c>
      <c r="F92" s="2"/>
      <c r="G92" s="2"/>
      <c r="H92" s="2"/>
      <c r="I92" s="2"/>
      <c r="J92" s="2"/>
      <c r="K92" s="2"/>
      <c r="L92" s="2"/>
      <c r="M92" s="2"/>
      <c r="N92" s="2"/>
      <c r="O92" s="2"/>
      <c r="P92" s="2"/>
      <c r="Q92" s="13"/>
      <c r="S92" s="28"/>
    </row>
    <row r="93" spans="2:19" x14ac:dyDescent="0.35">
      <c r="B93" s="14"/>
      <c r="C93" s="15"/>
      <c r="D93" s="8" t="s">
        <v>170</v>
      </c>
      <c r="E93" s="1">
        <f t="shared" si="19"/>
        <v>0</v>
      </c>
      <c r="F93" s="2"/>
      <c r="G93" s="2"/>
      <c r="H93" s="2"/>
      <c r="I93" s="2"/>
      <c r="J93" s="2"/>
      <c r="K93" s="2"/>
      <c r="L93" s="2"/>
      <c r="M93" s="2"/>
      <c r="N93" s="2"/>
      <c r="O93" s="2"/>
      <c r="P93" s="2"/>
      <c r="Q93" s="13"/>
      <c r="S93" s="28"/>
    </row>
    <row r="94" spans="2:19" x14ac:dyDescent="0.35">
      <c r="B94" s="14"/>
      <c r="C94" s="8"/>
      <c r="D94" s="8" t="s">
        <v>173</v>
      </c>
      <c r="E94" s="1">
        <f t="shared" si="19"/>
        <v>8</v>
      </c>
      <c r="F94" s="2"/>
      <c r="G94" s="2"/>
      <c r="H94" s="2"/>
      <c r="I94" s="2">
        <v>1</v>
      </c>
      <c r="J94" s="2">
        <v>1</v>
      </c>
      <c r="K94" s="2">
        <v>1</v>
      </c>
      <c r="L94" s="2">
        <v>1</v>
      </c>
      <c r="M94" s="2">
        <v>1</v>
      </c>
      <c r="N94" s="2">
        <v>1</v>
      </c>
      <c r="O94" s="2">
        <v>1</v>
      </c>
      <c r="P94" s="2">
        <v>1</v>
      </c>
      <c r="Q94" s="13"/>
      <c r="S94" s="28"/>
    </row>
    <row r="95" spans="2:19" x14ac:dyDescent="0.35">
      <c r="B95" s="14"/>
      <c r="C95" s="8"/>
      <c r="D95" s="8"/>
      <c r="E95" s="1">
        <f t="shared" si="19"/>
        <v>0</v>
      </c>
      <c r="F95" s="2"/>
      <c r="G95" s="2"/>
      <c r="H95" s="2"/>
      <c r="I95" s="2"/>
      <c r="J95" s="2"/>
      <c r="K95" s="2"/>
      <c r="L95" s="2"/>
      <c r="M95" s="2"/>
      <c r="N95" s="2"/>
      <c r="O95" s="2"/>
      <c r="P95" s="2"/>
      <c r="Q95" s="13"/>
      <c r="S95" s="28"/>
    </row>
    <row r="96" spans="2:19" x14ac:dyDescent="0.35">
      <c r="B96" s="14"/>
      <c r="C96" s="8"/>
      <c r="D96" s="8" t="s">
        <v>172</v>
      </c>
      <c r="E96" s="1">
        <f t="shared" si="19"/>
        <v>9</v>
      </c>
      <c r="F96" s="2"/>
      <c r="G96" s="2"/>
      <c r="H96" s="2">
        <v>1</v>
      </c>
      <c r="I96" s="2">
        <v>1</v>
      </c>
      <c r="J96" s="2">
        <v>1</v>
      </c>
      <c r="K96" s="2">
        <v>1</v>
      </c>
      <c r="L96" s="2">
        <v>1</v>
      </c>
      <c r="M96" s="2">
        <v>1</v>
      </c>
      <c r="N96" s="2">
        <v>1</v>
      </c>
      <c r="O96" s="2">
        <v>1</v>
      </c>
      <c r="P96" s="2">
        <v>1</v>
      </c>
      <c r="Q96" s="13"/>
      <c r="S96" s="28"/>
    </row>
    <row r="97" spans="1:19" x14ac:dyDescent="0.35">
      <c r="B97" s="54" t="b" cm="1">
        <f t="array" ref="B97">SUMPRODUCT(--(F98:P100&lt;&gt;""))&lt;&gt;0</f>
        <v>0</v>
      </c>
      <c r="C97" s="15" t="s">
        <v>174</v>
      </c>
      <c r="D97" s="8"/>
      <c r="E97" s="8"/>
      <c r="F97" s="8"/>
      <c r="G97" s="8"/>
      <c r="H97" s="8"/>
      <c r="I97" s="8"/>
      <c r="J97" s="8"/>
      <c r="K97" s="8"/>
      <c r="L97" s="8"/>
      <c r="M97" s="8"/>
      <c r="N97" s="8"/>
      <c r="O97" s="8"/>
      <c r="P97" s="8"/>
      <c r="Q97" s="13"/>
      <c r="S97" s="28"/>
    </row>
    <row r="98" spans="1:19" x14ac:dyDescent="0.35">
      <c r="B98" s="14"/>
      <c r="C98" s="15"/>
      <c r="D98" s="8" t="s">
        <v>175</v>
      </c>
      <c r="E98" s="1">
        <f t="shared" ref="E98:E100" si="20">SUM(F98:P98)</f>
        <v>0</v>
      </c>
      <c r="F98" s="2"/>
      <c r="G98" s="2"/>
      <c r="H98" s="2"/>
      <c r="I98" s="2"/>
      <c r="J98" s="2"/>
      <c r="K98" s="2"/>
      <c r="L98" s="2"/>
      <c r="M98" s="2"/>
      <c r="N98" s="2"/>
      <c r="O98" s="2"/>
      <c r="P98" s="2"/>
      <c r="Q98" s="13"/>
      <c r="S98" s="28"/>
    </row>
    <row r="99" spans="1:19" x14ac:dyDescent="0.35">
      <c r="B99" s="14"/>
      <c r="C99" s="15"/>
      <c r="D99" s="8" t="s">
        <v>176</v>
      </c>
      <c r="E99" s="1">
        <f t="shared" si="20"/>
        <v>0</v>
      </c>
      <c r="F99" s="2"/>
      <c r="G99" s="2"/>
      <c r="H99" s="2"/>
      <c r="I99" s="2"/>
      <c r="J99" s="2"/>
      <c r="K99" s="2"/>
      <c r="L99" s="2"/>
      <c r="M99" s="2"/>
      <c r="N99" s="2"/>
      <c r="O99" s="2"/>
      <c r="P99" s="2"/>
      <c r="Q99" s="13"/>
      <c r="S99" s="28"/>
    </row>
    <row r="100" spans="1:19" x14ac:dyDescent="0.35">
      <c r="B100" s="14"/>
      <c r="C100" s="15"/>
      <c r="D100" s="8" t="s">
        <v>177</v>
      </c>
      <c r="E100" s="1">
        <f t="shared" si="20"/>
        <v>0</v>
      </c>
      <c r="F100" s="2"/>
      <c r="G100" s="2"/>
      <c r="H100" s="2"/>
      <c r="I100" s="2"/>
      <c r="J100" s="2"/>
      <c r="K100" s="2"/>
      <c r="L100" s="2"/>
      <c r="M100" s="2"/>
      <c r="N100" s="2"/>
      <c r="O100" s="2"/>
      <c r="P100" s="2"/>
      <c r="Q100" s="13"/>
      <c r="S100" s="28"/>
    </row>
    <row r="101" spans="1:19" x14ac:dyDescent="0.35">
      <c r="B101" s="54" t="b" cm="1">
        <f t="array" ref="B101">SUMPRODUCT(--(F102:P103&lt;&gt;""))&lt;&gt;0</f>
        <v>0</v>
      </c>
      <c r="C101" s="15" t="s">
        <v>178</v>
      </c>
      <c r="D101" s="8"/>
      <c r="E101" s="8"/>
      <c r="F101" s="8"/>
      <c r="G101" s="8"/>
      <c r="H101" s="8"/>
      <c r="I101" s="8"/>
      <c r="J101" s="8"/>
      <c r="K101" s="8"/>
      <c r="L101" s="8"/>
      <c r="M101" s="8"/>
      <c r="N101" s="8"/>
      <c r="O101" s="8"/>
      <c r="P101" s="8"/>
      <c r="Q101" s="13"/>
      <c r="S101" s="28"/>
    </row>
    <row r="102" spans="1:19" x14ac:dyDescent="0.35">
      <c r="B102" s="14"/>
      <c r="C102" s="15"/>
      <c r="D102" s="8" t="s">
        <v>179</v>
      </c>
      <c r="E102" s="1">
        <f t="shared" ref="E102:E103" si="21">SUM(F102:P102)</f>
        <v>0</v>
      </c>
      <c r="F102" s="2"/>
      <c r="G102" s="2"/>
      <c r="H102" s="2"/>
      <c r="I102" s="2"/>
      <c r="J102" s="2"/>
      <c r="K102" s="2"/>
      <c r="L102" s="2"/>
      <c r="M102" s="2"/>
      <c r="N102" s="2"/>
      <c r="O102" s="2"/>
      <c r="P102" s="2"/>
      <c r="Q102" s="13"/>
      <c r="S102" s="28"/>
    </row>
    <row r="103" spans="1:19" ht="15" thickBot="1" x14ac:dyDescent="0.4">
      <c r="B103" s="14"/>
      <c r="C103" s="8"/>
      <c r="D103" s="8" t="s">
        <v>180</v>
      </c>
      <c r="E103" s="31">
        <f t="shared" si="21"/>
        <v>0</v>
      </c>
      <c r="F103" s="45"/>
      <c r="G103" s="45"/>
      <c r="H103" s="45"/>
      <c r="I103" s="45"/>
      <c r="J103" s="45"/>
      <c r="K103" s="45"/>
      <c r="L103" s="45"/>
      <c r="M103" s="45"/>
      <c r="N103" s="45"/>
      <c r="O103" s="45"/>
      <c r="P103" s="45"/>
      <c r="Q103" s="13"/>
      <c r="S103" s="28"/>
    </row>
    <row r="104" spans="1:19" ht="15" thickTop="1" x14ac:dyDescent="0.35">
      <c r="B104" s="14"/>
      <c r="C104" s="15" t="s">
        <v>181</v>
      </c>
      <c r="D104" s="15"/>
      <c r="E104" s="32">
        <f>SUM(E77:E80,E82:E84,E86:E88,E90:E96,E98:E100,E102:E103)</f>
        <v>45</v>
      </c>
      <c r="F104" s="32">
        <f t="shared" ref="F104:P104" si="22">SUM(F77:F80,F82:F84,F86:F88,F90:F96,F98:F100,F102:F103)</f>
        <v>0</v>
      </c>
      <c r="G104" s="32">
        <f t="shared" si="22"/>
        <v>0</v>
      </c>
      <c r="H104" s="32">
        <f t="shared" si="22"/>
        <v>4</v>
      </c>
      <c r="I104" s="32">
        <f t="shared" si="22"/>
        <v>6</v>
      </c>
      <c r="J104" s="32">
        <f t="shared" si="22"/>
        <v>5</v>
      </c>
      <c r="K104" s="32">
        <f t="shared" si="22"/>
        <v>5</v>
      </c>
      <c r="L104" s="32">
        <f t="shared" si="22"/>
        <v>5</v>
      </c>
      <c r="M104" s="32">
        <f t="shared" si="22"/>
        <v>5</v>
      </c>
      <c r="N104" s="32">
        <f t="shared" si="22"/>
        <v>5</v>
      </c>
      <c r="O104" s="32">
        <f t="shared" si="22"/>
        <v>5</v>
      </c>
      <c r="P104" s="32">
        <f t="shared" si="22"/>
        <v>5</v>
      </c>
      <c r="Q104" s="13"/>
      <c r="S104" s="28"/>
    </row>
    <row r="105" spans="1:19" x14ac:dyDescent="0.35">
      <c r="B105" s="14"/>
      <c r="C105" s="15"/>
      <c r="D105" s="35" t="str">
        <f>D23</f>
        <v>Discounted</v>
      </c>
      <c r="E105" s="82">
        <f>SUM(F105:P105)</f>
        <v>45</v>
      </c>
      <c r="F105" s="82">
        <f>F104/(1+'Viability comparison'!$D$6)^0</f>
        <v>0</v>
      </c>
      <c r="G105" s="82">
        <f>G104/(1+'Viability comparison'!$D$6)^1</f>
        <v>0</v>
      </c>
      <c r="H105" s="82">
        <f>H104/(1+'Viability comparison'!$D$6)^2</f>
        <v>4</v>
      </c>
      <c r="I105" s="82">
        <f>I104/(1+'Viability comparison'!$D$6)^3</f>
        <v>6</v>
      </c>
      <c r="J105" s="82">
        <f>J104/(1+'Viability comparison'!$D$6)^4</f>
        <v>5</v>
      </c>
      <c r="K105" s="82">
        <f>K104/(1+'Viability comparison'!$D$6)^5</f>
        <v>5</v>
      </c>
      <c r="L105" s="82">
        <f>L104/(1+'Viability comparison'!$D$6)^6</f>
        <v>5</v>
      </c>
      <c r="M105" s="82">
        <f>M104/(1+'Viability comparison'!$D$6)^7</f>
        <v>5</v>
      </c>
      <c r="N105" s="82">
        <f>N104/(1+'Viability comparison'!$D$6)^8</f>
        <v>5</v>
      </c>
      <c r="O105" s="82">
        <f>O104/(1+'Viability comparison'!$D$6)^9</f>
        <v>5</v>
      </c>
      <c r="P105" s="82">
        <f>P104/(1+'Viability comparison'!$D$6)^10</f>
        <v>5</v>
      </c>
      <c r="Q105" s="13"/>
      <c r="S105" s="43"/>
    </row>
    <row r="106" spans="1:19" ht="15" thickBot="1" x14ac:dyDescent="0.4">
      <c r="B106" s="16"/>
      <c r="C106" s="17"/>
      <c r="D106" s="17"/>
      <c r="E106" s="17"/>
      <c r="F106" s="17"/>
      <c r="G106" s="17"/>
      <c r="H106" s="17"/>
      <c r="I106" s="17"/>
      <c r="J106" s="17"/>
      <c r="K106" s="17"/>
      <c r="L106" s="17"/>
      <c r="M106" s="17"/>
      <c r="N106" s="17"/>
      <c r="O106" s="17"/>
      <c r="P106" s="17"/>
      <c r="Q106" s="18"/>
      <c r="S106" s="26"/>
    </row>
    <row r="107" spans="1:19" ht="15" thickBot="1" x14ac:dyDescent="0.4">
      <c r="A107" s="55" t="b">
        <f>(B109+B112+B116+B120)&lt;&gt;0</f>
        <v>0</v>
      </c>
    </row>
    <row r="108" spans="1:19" x14ac:dyDescent="0.35">
      <c r="B108" s="19" t="s">
        <v>182</v>
      </c>
      <c r="C108" s="36"/>
      <c r="D108" s="20"/>
      <c r="E108" s="20"/>
      <c r="F108" s="20"/>
      <c r="G108" s="20"/>
      <c r="H108" s="20"/>
      <c r="I108" s="20"/>
      <c r="J108" s="20"/>
      <c r="K108" s="20"/>
      <c r="L108" s="20"/>
      <c r="M108" s="20"/>
      <c r="N108" s="20"/>
      <c r="O108" s="20"/>
      <c r="P108" s="20"/>
      <c r="Q108" s="21"/>
      <c r="S108" s="30"/>
    </row>
    <row r="109" spans="1:19" x14ac:dyDescent="0.35">
      <c r="B109" s="54" t="b" cm="1">
        <f t="array" ref="B109">SUMPRODUCT(--(F110:P111&lt;&gt;""))&lt;&gt;0</f>
        <v>0</v>
      </c>
      <c r="C109" s="15" t="s">
        <v>183</v>
      </c>
      <c r="D109" s="8"/>
      <c r="E109" s="8"/>
      <c r="F109" s="8"/>
      <c r="G109" s="8"/>
      <c r="H109" s="8"/>
      <c r="I109" s="8"/>
      <c r="J109" s="8"/>
      <c r="K109" s="8"/>
      <c r="L109" s="8"/>
      <c r="M109" s="8"/>
      <c r="N109" s="8"/>
      <c r="O109" s="8"/>
      <c r="P109" s="8"/>
      <c r="Q109" s="13"/>
      <c r="S109" s="27"/>
    </row>
    <row r="110" spans="1:19" x14ac:dyDescent="0.35">
      <c r="B110" s="14"/>
      <c r="C110" s="8"/>
      <c r="D110" s="8" t="s">
        <v>184</v>
      </c>
      <c r="E110" s="1">
        <f t="shared" ref="E110:E111" si="23">SUM(F110:P110)</f>
        <v>0</v>
      </c>
      <c r="F110" s="2"/>
      <c r="G110" s="2"/>
      <c r="H110" s="2"/>
      <c r="I110" s="2"/>
      <c r="J110" s="2"/>
      <c r="K110" s="2"/>
      <c r="L110" s="2"/>
      <c r="M110" s="2"/>
      <c r="N110" s="2"/>
      <c r="O110" s="2"/>
      <c r="P110" s="2"/>
      <c r="Q110" s="13"/>
      <c r="S110" s="28"/>
    </row>
    <row r="111" spans="1:19" x14ac:dyDescent="0.35">
      <c r="B111" s="14"/>
      <c r="C111" s="8"/>
      <c r="D111" s="8" t="s">
        <v>185</v>
      </c>
      <c r="E111" s="1">
        <f t="shared" si="23"/>
        <v>0</v>
      </c>
      <c r="F111" s="2"/>
      <c r="G111" s="2"/>
      <c r="H111" s="2"/>
      <c r="I111" s="2"/>
      <c r="J111" s="2"/>
      <c r="K111" s="2"/>
      <c r="L111" s="2"/>
      <c r="M111" s="2"/>
      <c r="N111" s="2"/>
      <c r="O111" s="2"/>
      <c r="P111" s="2"/>
      <c r="Q111" s="13"/>
      <c r="S111" s="28"/>
    </row>
    <row r="112" spans="1:19" x14ac:dyDescent="0.35">
      <c r="B112" s="54" t="b" cm="1">
        <f t="array" ref="B112">SUMPRODUCT(--(F113:P115&lt;&gt;""))&lt;&gt;0</f>
        <v>0</v>
      </c>
      <c r="C112" s="15" t="s">
        <v>186</v>
      </c>
      <c r="D112" s="8"/>
      <c r="E112" s="8"/>
      <c r="F112" s="8"/>
      <c r="G112" s="8"/>
      <c r="H112" s="8"/>
      <c r="I112" s="8"/>
      <c r="J112" s="8"/>
      <c r="K112" s="8"/>
      <c r="L112" s="8"/>
      <c r="M112" s="8"/>
      <c r="N112" s="8"/>
      <c r="O112" s="8"/>
      <c r="P112" s="8"/>
      <c r="Q112" s="13"/>
      <c r="S112" s="28"/>
    </row>
    <row r="113" spans="2:19" x14ac:dyDescent="0.35">
      <c r="B113" s="14"/>
      <c r="C113" s="15"/>
      <c r="D113" s="8" t="s">
        <v>187</v>
      </c>
      <c r="E113" s="1">
        <f t="shared" ref="E113:E115" si="24">SUM(F113:P113)</f>
        <v>0</v>
      </c>
      <c r="F113" s="2"/>
      <c r="G113" s="2"/>
      <c r="H113" s="2"/>
      <c r="I113" s="2"/>
      <c r="J113" s="2"/>
      <c r="K113" s="2"/>
      <c r="L113" s="2"/>
      <c r="M113" s="2"/>
      <c r="N113" s="2"/>
      <c r="O113" s="2"/>
      <c r="P113" s="2"/>
      <c r="Q113" s="13"/>
      <c r="S113" s="28"/>
    </row>
    <row r="114" spans="2:19" x14ac:dyDescent="0.35">
      <c r="B114" s="14"/>
      <c r="C114" s="15"/>
      <c r="D114" s="8" t="s">
        <v>188</v>
      </c>
      <c r="E114" s="1">
        <f t="shared" si="24"/>
        <v>0</v>
      </c>
      <c r="F114" s="2"/>
      <c r="G114" s="2"/>
      <c r="H114" s="2"/>
      <c r="I114" s="2"/>
      <c r="J114" s="2"/>
      <c r="K114" s="2"/>
      <c r="L114" s="2"/>
      <c r="M114" s="2"/>
      <c r="N114" s="2"/>
      <c r="O114" s="2"/>
      <c r="P114" s="2"/>
      <c r="Q114" s="13"/>
      <c r="S114" s="28"/>
    </row>
    <row r="115" spans="2:19" x14ac:dyDescent="0.35">
      <c r="B115" s="14"/>
      <c r="C115" s="15"/>
      <c r="D115" s="8" t="s">
        <v>189</v>
      </c>
      <c r="E115" s="1">
        <f t="shared" si="24"/>
        <v>0</v>
      </c>
      <c r="F115" s="2"/>
      <c r="G115" s="2"/>
      <c r="H115" s="2"/>
      <c r="I115" s="2"/>
      <c r="J115" s="2"/>
      <c r="K115" s="2"/>
      <c r="L115" s="2"/>
      <c r="M115" s="2"/>
      <c r="N115" s="2"/>
      <c r="O115" s="2"/>
      <c r="P115" s="2"/>
      <c r="Q115" s="13"/>
      <c r="S115" s="28"/>
    </row>
    <row r="116" spans="2:19" x14ac:dyDescent="0.35">
      <c r="B116" s="54" t="b" cm="1">
        <f t="array" ref="B116">SUMPRODUCT(--(F117:P119&lt;&gt;""))&lt;&gt;0</f>
        <v>0</v>
      </c>
      <c r="C116" s="15" t="s">
        <v>190</v>
      </c>
      <c r="D116" s="8"/>
      <c r="E116" s="8"/>
      <c r="F116" s="8"/>
      <c r="G116" s="8"/>
      <c r="H116" s="8"/>
      <c r="I116" s="8"/>
      <c r="J116" s="8"/>
      <c r="K116" s="8"/>
      <c r="L116" s="8"/>
      <c r="M116" s="8"/>
      <c r="N116" s="8"/>
      <c r="O116" s="8"/>
      <c r="P116" s="8"/>
      <c r="Q116" s="13"/>
      <c r="S116" s="28"/>
    </row>
    <row r="117" spans="2:19" x14ac:dyDescent="0.35">
      <c r="B117" s="14"/>
      <c r="C117" s="15"/>
      <c r="D117" s="8" t="s">
        <v>187</v>
      </c>
      <c r="E117" s="1">
        <f t="shared" ref="E117:E119" si="25">SUM(F117:P117)</f>
        <v>0</v>
      </c>
      <c r="F117" s="2"/>
      <c r="G117" s="2"/>
      <c r="H117" s="2"/>
      <c r="I117" s="2"/>
      <c r="J117" s="2"/>
      <c r="K117" s="2"/>
      <c r="L117" s="2"/>
      <c r="M117" s="2"/>
      <c r="N117" s="2"/>
      <c r="O117" s="2"/>
      <c r="P117" s="2"/>
      <c r="Q117" s="13"/>
      <c r="S117" s="28"/>
    </row>
    <row r="118" spans="2:19" x14ac:dyDescent="0.35">
      <c r="B118" s="14"/>
      <c r="C118" s="15"/>
      <c r="D118" s="8" t="s">
        <v>188</v>
      </c>
      <c r="E118" s="1">
        <f t="shared" si="25"/>
        <v>0</v>
      </c>
      <c r="F118" s="2"/>
      <c r="G118" s="2"/>
      <c r="H118" s="2"/>
      <c r="I118" s="2"/>
      <c r="J118" s="2"/>
      <c r="K118" s="2"/>
      <c r="L118" s="2"/>
      <c r="M118" s="2"/>
      <c r="N118" s="2"/>
      <c r="O118" s="2"/>
      <c r="P118" s="2"/>
      <c r="Q118" s="13"/>
      <c r="S118" s="28"/>
    </row>
    <row r="119" spans="2:19" x14ac:dyDescent="0.35">
      <c r="B119" s="14"/>
      <c r="C119" s="15"/>
      <c r="D119" s="8" t="s">
        <v>189</v>
      </c>
      <c r="E119" s="1">
        <f t="shared" si="25"/>
        <v>0</v>
      </c>
      <c r="F119" s="2"/>
      <c r="G119" s="2"/>
      <c r="H119" s="2"/>
      <c r="I119" s="2"/>
      <c r="J119" s="2"/>
      <c r="K119" s="2"/>
      <c r="L119" s="2"/>
      <c r="M119" s="2"/>
      <c r="N119" s="2"/>
      <c r="O119" s="2"/>
      <c r="P119" s="2"/>
      <c r="Q119" s="13"/>
      <c r="S119" s="28"/>
    </row>
    <row r="120" spans="2:19" x14ac:dyDescent="0.35">
      <c r="B120" s="54" t="b" cm="1">
        <f t="array" ref="B120">SUMPRODUCT(--(F121:P123&lt;&gt;""))&lt;&gt;0</f>
        <v>0</v>
      </c>
      <c r="C120" s="15" t="s">
        <v>191</v>
      </c>
      <c r="D120" s="8"/>
      <c r="E120" s="8"/>
      <c r="F120" s="8"/>
      <c r="G120" s="8"/>
      <c r="H120" s="8"/>
      <c r="I120" s="8"/>
      <c r="J120" s="8"/>
      <c r="K120" s="8"/>
      <c r="L120" s="8"/>
      <c r="M120" s="8"/>
      <c r="N120" s="8"/>
      <c r="O120" s="8"/>
      <c r="P120" s="8"/>
      <c r="Q120" s="13"/>
      <c r="S120" s="28"/>
    </row>
    <row r="121" spans="2:19" x14ac:dyDescent="0.35">
      <c r="B121" s="14"/>
      <c r="C121" s="15"/>
      <c r="D121" s="8" t="s">
        <v>187</v>
      </c>
      <c r="E121" s="1">
        <f t="shared" ref="E121:E123" si="26">SUM(F121:P121)</f>
        <v>0</v>
      </c>
      <c r="F121" s="2"/>
      <c r="G121" s="2"/>
      <c r="H121" s="2"/>
      <c r="I121" s="2"/>
      <c r="J121" s="2"/>
      <c r="K121" s="2"/>
      <c r="L121" s="2"/>
      <c r="M121" s="2"/>
      <c r="N121" s="2"/>
      <c r="O121" s="2"/>
      <c r="P121" s="2"/>
      <c r="Q121" s="13"/>
      <c r="S121" s="28"/>
    </row>
    <row r="122" spans="2:19" x14ac:dyDescent="0.35">
      <c r="B122" s="14"/>
      <c r="C122" s="15"/>
      <c r="D122" s="8" t="s">
        <v>188</v>
      </c>
      <c r="E122" s="1">
        <f t="shared" si="26"/>
        <v>0</v>
      </c>
      <c r="F122" s="2"/>
      <c r="G122" s="2"/>
      <c r="H122" s="2"/>
      <c r="I122" s="2"/>
      <c r="J122" s="2"/>
      <c r="K122" s="2"/>
      <c r="L122" s="2"/>
      <c r="M122" s="2"/>
      <c r="N122" s="2"/>
      <c r="O122" s="2"/>
      <c r="P122" s="2"/>
      <c r="Q122" s="13"/>
      <c r="S122" s="28"/>
    </row>
    <row r="123" spans="2:19" ht="15" thickBot="1" x14ac:dyDescent="0.4">
      <c r="B123" s="14"/>
      <c r="C123" s="15"/>
      <c r="D123" s="8" t="s">
        <v>189</v>
      </c>
      <c r="E123" s="31">
        <f t="shared" si="26"/>
        <v>0</v>
      </c>
      <c r="F123" s="45"/>
      <c r="G123" s="45"/>
      <c r="H123" s="45"/>
      <c r="I123" s="45"/>
      <c r="J123" s="45"/>
      <c r="K123" s="45"/>
      <c r="L123" s="45"/>
      <c r="M123" s="45"/>
      <c r="N123" s="45"/>
      <c r="O123" s="45"/>
      <c r="P123" s="45"/>
      <c r="Q123" s="13"/>
      <c r="S123" s="28"/>
    </row>
    <row r="124" spans="2:19" ht="15" thickTop="1" x14ac:dyDescent="0.35">
      <c r="B124" s="14"/>
      <c r="C124" s="15" t="s">
        <v>192</v>
      </c>
      <c r="D124" s="8"/>
      <c r="E124" s="32">
        <f>SUM(E110:E111,E113:E115,E117:E119,E121:E123)</f>
        <v>0</v>
      </c>
      <c r="F124" s="32">
        <f t="shared" ref="F124:P124" si="27">SUM(F110:F111,F113:F115,F117:F119,F121:F123)</f>
        <v>0</v>
      </c>
      <c r="G124" s="32">
        <f t="shared" si="27"/>
        <v>0</v>
      </c>
      <c r="H124" s="32">
        <f t="shared" si="27"/>
        <v>0</v>
      </c>
      <c r="I124" s="32">
        <f t="shared" si="27"/>
        <v>0</v>
      </c>
      <c r="J124" s="32">
        <f t="shared" si="27"/>
        <v>0</v>
      </c>
      <c r="K124" s="32">
        <f t="shared" si="27"/>
        <v>0</v>
      </c>
      <c r="L124" s="32">
        <f t="shared" si="27"/>
        <v>0</v>
      </c>
      <c r="M124" s="32">
        <f t="shared" si="27"/>
        <v>0</v>
      </c>
      <c r="N124" s="32">
        <f t="shared" si="27"/>
        <v>0</v>
      </c>
      <c r="O124" s="32">
        <f t="shared" si="27"/>
        <v>0</v>
      </c>
      <c r="P124" s="32">
        <f t="shared" si="27"/>
        <v>0</v>
      </c>
      <c r="Q124" s="13"/>
      <c r="S124" s="28"/>
    </row>
    <row r="125" spans="2:19" x14ac:dyDescent="0.35">
      <c r="B125" s="14"/>
      <c r="C125" s="15"/>
      <c r="D125" s="8" t="str">
        <f>D23</f>
        <v>Discounted</v>
      </c>
      <c r="E125" s="82">
        <f>SUM(F125:P125)</f>
        <v>0</v>
      </c>
      <c r="F125" s="82">
        <f>F124/(1+'Viability comparison'!$D$6)^0</f>
        <v>0</v>
      </c>
      <c r="G125" s="82">
        <f>G124/(1+'Viability comparison'!$D$6)^1</f>
        <v>0</v>
      </c>
      <c r="H125" s="82">
        <f>H124/(1+'Viability comparison'!$D$6)^2</f>
        <v>0</v>
      </c>
      <c r="I125" s="82">
        <f>I124/(1+'Viability comparison'!$D$6)^3</f>
        <v>0</v>
      </c>
      <c r="J125" s="82">
        <f>J124/(1+'Viability comparison'!$D$6)^4</f>
        <v>0</v>
      </c>
      <c r="K125" s="82">
        <f>K124/(1+'Viability comparison'!$D$6)^5</f>
        <v>0</v>
      </c>
      <c r="L125" s="82">
        <f>L124/(1+'Viability comparison'!$D$6)^6</f>
        <v>0</v>
      </c>
      <c r="M125" s="82">
        <f>M124/(1+'Viability comparison'!$D$6)^7</f>
        <v>0</v>
      </c>
      <c r="N125" s="82">
        <f>N124/(1+'Viability comparison'!$D$6)^8</f>
        <v>0</v>
      </c>
      <c r="O125" s="82">
        <f>O124/(1+'Viability comparison'!$D$6)^9</f>
        <v>0</v>
      </c>
      <c r="P125" s="82">
        <f>P124/(1+'Viability comparison'!$D$6)^10</f>
        <v>0</v>
      </c>
      <c r="Q125" s="13"/>
      <c r="S125" s="43"/>
    </row>
    <row r="126" spans="2:19" ht="15" thickBot="1" x14ac:dyDescent="0.4">
      <c r="B126" s="16"/>
      <c r="C126" s="17"/>
      <c r="D126" s="17"/>
      <c r="E126" s="17"/>
      <c r="F126" s="17"/>
      <c r="G126" s="17"/>
      <c r="H126" s="17"/>
      <c r="I126" s="17"/>
      <c r="J126" s="17"/>
      <c r="K126" s="17"/>
      <c r="L126" s="17"/>
      <c r="M126" s="17"/>
      <c r="N126" s="17"/>
      <c r="O126" s="17"/>
      <c r="P126" s="17"/>
      <c r="Q126" s="18"/>
      <c r="S126" s="26"/>
    </row>
    <row r="127" spans="2:19" ht="15" thickBot="1" x14ac:dyDescent="0.4"/>
    <row r="128" spans="2:19" ht="15" thickBot="1" x14ac:dyDescent="0.4">
      <c r="B128" s="22" t="s">
        <v>193</v>
      </c>
      <c r="C128" s="33"/>
      <c r="D128" s="23"/>
      <c r="E128" s="33">
        <f>SUM(E124,E104)</f>
        <v>45</v>
      </c>
      <c r="F128" s="33">
        <f t="shared" ref="F128:P128" si="28">SUM(F124,F104)</f>
        <v>0</v>
      </c>
      <c r="G128" s="33">
        <f t="shared" si="28"/>
        <v>0</v>
      </c>
      <c r="H128" s="33">
        <f t="shared" si="28"/>
        <v>4</v>
      </c>
      <c r="I128" s="33">
        <f t="shared" si="28"/>
        <v>6</v>
      </c>
      <c r="J128" s="33">
        <f t="shared" si="28"/>
        <v>5</v>
      </c>
      <c r="K128" s="33">
        <f t="shared" si="28"/>
        <v>5</v>
      </c>
      <c r="L128" s="33">
        <f t="shared" si="28"/>
        <v>5</v>
      </c>
      <c r="M128" s="33">
        <f t="shared" si="28"/>
        <v>5</v>
      </c>
      <c r="N128" s="33">
        <f t="shared" si="28"/>
        <v>5</v>
      </c>
      <c r="O128" s="33">
        <f t="shared" si="28"/>
        <v>5</v>
      </c>
      <c r="P128" s="33">
        <f t="shared" si="28"/>
        <v>5</v>
      </c>
      <c r="Q128" s="24"/>
    </row>
    <row r="129" spans="2:17" ht="15" thickBot="1" x14ac:dyDescent="0.4">
      <c r="B129" s="22" t="s">
        <v>194</v>
      </c>
      <c r="C129" s="33"/>
      <c r="D129" s="23"/>
      <c r="E129" s="58">
        <f>SUM(F129:P129)</f>
        <v>45</v>
      </c>
      <c r="F129" s="58">
        <f>F128 / (1+'Viability comparison'!$D$6)^0</f>
        <v>0</v>
      </c>
      <c r="G129" s="58">
        <f>G128 / (1+'Viability comparison'!$D$6)^1</f>
        <v>0</v>
      </c>
      <c r="H129" s="58">
        <f>H128 / (1+'Viability comparison'!$D$6)^2</f>
        <v>4</v>
      </c>
      <c r="I129" s="58">
        <f>I128 / (1+'Viability comparison'!$D$6)^3</f>
        <v>6</v>
      </c>
      <c r="J129" s="58">
        <f>J128 / (1+'Viability comparison'!$D$6)^4</f>
        <v>5</v>
      </c>
      <c r="K129" s="58">
        <f>K128 / (1+'Viability comparison'!$D$6)^5</f>
        <v>5</v>
      </c>
      <c r="L129" s="58">
        <f>L128 / (1+'Viability comparison'!$D$6)^6</f>
        <v>5</v>
      </c>
      <c r="M129" s="58">
        <f>M128 / (1+'Viability comparison'!$D$6)^7</f>
        <v>5</v>
      </c>
      <c r="N129" s="58">
        <f>N128 / (1+'Viability comparison'!$D$6)^8</f>
        <v>5</v>
      </c>
      <c r="O129" s="58">
        <f>O128 / (1+'Viability comparison'!$D$6)^9</f>
        <v>5</v>
      </c>
      <c r="P129" s="58">
        <f>P128 / (1+'Viability comparison'!$D$6)^10</f>
        <v>5</v>
      </c>
      <c r="Q129" s="24"/>
    </row>
    <row r="130" spans="2:17" ht="15" thickBot="1" x14ac:dyDescent="0.4">
      <c r="B130" s="22" t="s">
        <v>195</v>
      </c>
      <c r="C130" s="33"/>
      <c r="D130" s="23"/>
      <c r="E130" s="58">
        <f>SUM(F130:P130)</f>
        <v>45</v>
      </c>
      <c r="F130" s="58">
        <f>F128 / (1+'Viability comparison'!$D$18)^0</f>
        <v>0</v>
      </c>
      <c r="G130" s="58">
        <f>G128 / (1+'Viability comparison'!$D$18)^1</f>
        <v>0</v>
      </c>
      <c r="H130" s="58">
        <f>H128 / (1+'Viability comparison'!$D$18)^2</f>
        <v>4</v>
      </c>
      <c r="I130" s="58">
        <f>I128 / (1+'Viability comparison'!$D$18)^3</f>
        <v>6</v>
      </c>
      <c r="J130" s="58">
        <f>J128 / (1+'Viability comparison'!$D$18)^4</f>
        <v>5</v>
      </c>
      <c r="K130" s="58">
        <f>K128 / (1+'Viability comparison'!$D$18)^5</f>
        <v>5</v>
      </c>
      <c r="L130" s="58">
        <f>L128 / (1+'Viability comparison'!$D$18)^6</f>
        <v>5</v>
      </c>
      <c r="M130" s="58">
        <f>M128 / (1+'Viability comparison'!$D$18)^7</f>
        <v>5</v>
      </c>
      <c r="N130" s="58">
        <f>N128 / (1+'Viability comparison'!$D$18)^8</f>
        <v>5</v>
      </c>
      <c r="O130" s="58">
        <f>O128 / (1+'Viability comparison'!$D$18)^9</f>
        <v>5</v>
      </c>
      <c r="P130" s="58">
        <f>P128 / (1+'Viability comparison'!$D$18)^10</f>
        <v>5</v>
      </c>
      <c r="Q130" s="24"/>
    </row>
    <row r="131" spans="2:17" ht="15" thickBot="1" x14ac:dyDescent="0.4"/>
    <row r="132" spans="2:17" ht="15" thickBot="1" x14ac:dyDescent="0.4">
      <c r="B132" s="22" t="s">
        <v>196</v>
      </c>
      <c r="C132" s="33"/>
      <c r="D132" s="23"/>
      <c r="E132" s="58"/>
      <c r="F132" s="58">
        <f t="shared" ref="F132:P132" si="29">F128-F67</f>
        <v>0</v>
      </c>
      <c r="G132" s="58">
        <f t="shared" si="29"/>
        <v>0</v>
      </c>
      <c r="H132" s="58">
        <f t="shared" si="29"/>
        <v>0.5</v>
      </c>
      <c r="I132" s="58">
        <f t="shared" si="29"/>
        <v>2.5</v>
      </c>
      <c r="J132" s="58">
        <f t="shared" si="29"/>
        <v>1.5</v>
      </c>
      <c r="K132" s="58">
        <f t="shared" si="29"/>
        <v>1.5</v>
      </c>
      <c r="L132" s="58">
        <f t="shared" si="29"/>
        <v>1.5</v>
      </c>
      <c r="M132" s="58">
        <f t="shared" si="29"/>
        <v>1.5</v>
      </c>
      <c r="N132" s="58">
        <f t="shared" si="29"/>
        <v>1.5</v>
      </c>
      <c r="O132" s="58">
        <f t="shared" si="29"/>
        <v>1.5</v>
      </c>
      <c r="P132" s="58">
        <f t="shared" si="29"/>
        <v>1.5</v>
      </c>
      <c r="Q132" s="24"/>
    </row>
    <row r="133" spans="2:17" ht="15" thickBot="1" x14ac:dyDescent="0.4">
      <c r="B133" s="22" t="s">
        <v>194</v>
      </c>
      <c r="C133" s="33"/>
      <c r="D133" s="23"/>
      <c r="E133" s="58"/>
      <c r="F133" s="58">
        <f>F132 / (1+'Viability comparison'!$D$6)^0</f>
        <v>0</v>
      </c>
      <c r="G133" s="58">
        <f>G132 / (1+'Viability comparison'!$D$6)^1</f>
        <v>0</v>
      </c>
      <c r="H133" s="58">
        <f>H132 / (1+'Viability comparison'!$D$6)^2</f>
        <v>0.5</v>
      </c>
      <c r="I133" s="58">
        <f>I132 / (1+'Viability comparison'!$D$6)^3</f>
        <v>2.5</v>
      </c>
      <c r="J133" s="58">
        <f>J132 / (1+'Viability comparison'!$D$6)^4</f>
        <v>1.5</v>
      </c>
      <c r="K133" s="58">
        <f>K132 / (1+'Viability comparison'!$D$6)^5</f>
        <v>1.5</v>
      </c>
      <c r="L133" s="58">
        <f>L132 / (1+'Viability comparison'!$D$6)^6</f>
        <v>1.5</v>
      </c>
      <c r="M133" s="58">
        <f>M132 / (1+'Viability comparison'!$D$6)^7</f>
        <v>1.5</v>
      </c>
      <c r="N133" s="58">
        <f>N132 / (1+'Viability comparison'!$D$6)^8</f>
        <v>1.5</v>
      </c>
      <c r="O133" s="58">
        <f>O132 / (1+'Viability comparison'!$D$6)^9</f>
        <v>1.5</v>
      </c>
      <c r="P133" s="58">
        <f>P132 / (1+'Viability comparison'!$D$6)^10</f>
        <v>1.5</v>
      </c>
      <c r="Q133" s="24"/>
    </row>
    <row r="134" spans="2:17" ht="15" thickBot="1" x14ac:dyDescent="0.4">
      <c r="B134" s="22" t="s">
        <v>195</v>
      </c>
      <c r="C134" s="33"/>
      <c r="D134" s="23"/>
      <c r="E134" s="58"/>
      <c r="F134" s="58">
        <f>F132 / (1+'Viability comparison'!$D$18)^0</f>
        <v>0</v>
      </c>
      <c r="G134" s="58">
        <f>G132 / (1+'Viability comparison'!$D$18)^1</f>
        <v>0</v>
      </c>
      <c r="H134" s="58">
        <f>H132 / (1+'Viability comparison'!$D$18)^2</f>
        <v>0.5</v>
      </c>
      <c r="I134" s="58">
        <f>I132 / (1+'Viability comparison'!$D$18)^3</f>
        <v>2.5</v>
      </c>
      <c r="J134" s="58">
        <f>J132 / (1+'Viability comparison'!$D$18)^4</f>
        <v>1.5</v>
      </c>
      <c r="K134" s="58">
        <f>K132 / (1+'Viability comparison'!$D$18)^5</f>
        <v>1.5</v>
      </c>
      <c r="L134" s="58">
        <f>L132 / (1+'Viability comparison'!$D$18)^6</f>
        <v>1.5</v>
      </c>
      <c r="M134" s="58">
        <f>M132 / (1+'Viability comparison'!$D$18)^7</f>
        <v>1.5</v>
      </c>
      <c r="N134" s="58">
        <f>N132 / (1+'Viability comparison'!$D$18)^8</f>
        <v>1.5</v>
      </c>
      <c r="O134" s="58">
        <f>O132 / (1+'Viability comparison'!$D$18)^9</f>
        <v>1.5</v>
      </c>
      <c r="P134" s="58">
        <f>P132 / (1+'Viability comparison'!$D$18)^10</f>
        <v>1.5</v>
      </c>
      <c r="Q134" s="24"/>
    </row>
    <row r="136" spans="2:17" ht="15" thickBot="1" x14ac:dyDescent="0.4"/>
    <row r="137" spans="2:17" ht="15" thickBot="1" x14ac:dyDescent="0.4">
      <c r="B137" s="37" t="s">
        <v>197</v>
      </c>
      <c r="C137" s="10"/>
      <c r="D137" s="10"/>
      <c r="E137" s="10"/>
      <c r="F137" s="10">
        <f t="shared" ref="F137:P137" si="30">F5</f>
        <v>2022</v>
      </c>
      <c r="G137" s="10">
        <f t="shared" si="30"/>
        <v>2023</v>
      </c>
      <c r="H137" s="10">
        <f t="shared" si="30"/>
        <v>2024</v>
      </c>
      <c r="I137" s="10">
        <f t="shared" si="30"/>
        <v>2025</v>
      </c>
      <c r="J137" s="10">
        <f t="shared" si="30"/>
        <v>2026</v>
      </c>
      <c r="K137" s="10">
        <f t="shared" si="30"/>
        <v>2027</v>
      </c>
      <c r="L137" s="10">
        <f t="shared" si="30"/>
        <v>2028</v>
      </c>
      <c r="M137" s="10">
        <f t="shared" si="30"/>
        <v>2029</v>
      </c>
      <c r="N137" s="10">
        <f t="shared" si="30"/>
        <v>2030</v>
      </c>
      <c r="O137" s="10">
        <f t="shared" si="30"/>
        <v>2031</v>
      </c>
      <c r="P137" s="10">
        <f t="shared" si="30"/>
        <v>2032</v>
      </c>
      <c r="Q137" s="11"/>
    </row>
    <row r="138" spans="2:17" x14ac:dyDescent="0.35">
      <c r="B138" s="19" t="s">
        <v>222</v>
      </c>
      <c r="C138" s="36"/>
      <c r="D138" s="39"/>
      <c r="E138" s="36"/>
      <c r="F138" s="111">
        <f>F139</f>
        <v>-2</v>
      </c>
      <c r="G138" s="111">
        <f>F138+G139</f>
        <v>-8</v>
      </c>
      <c r="H138" s="111">
        <f t="shared" ref="H138:P138" si="31">G138+H139</f>
        <v>-7.5</v>
      </c>
      <c r="I138" s="111">
        <f t="shared" si="31"/>
        <v>-5</v>
      </c>
      <c r="J138" s="111">
        <f t="shared" si="31"/>
        <v>-3.5</v>
      </c>
      <c r="K138" s="111">
        <f t="shared" si="31"/>
        <v>-2</v>
      </c>
      <c r="L138" s="111">
        <f t="shared" si="31"/>
        <v>-0.5</v>
      </c>
      <c r="M138" s="111">
        <f t="shared" si="31"/>
        <v>1</v>
      </c>
      <c r="N138" s="111">
        <f t="shared" si="31"/>
        <v>2.5</v>
      </c>
      <c r="O138" s="111">
        <f t="shared" si="31"/>
        <v>4</v>
      </c>
      <c r="P138" s="111">
        <f t="shared" si="31"/>
        <v>5.5</v>
      </c>
      <c r="Q138" s="21"/>
    </row>
    <row r="139" spans="2:17" ht="15" thickBot="1" x14ac:dyDescent="0.4">
      <c r="B139" s="12" t="s">
        <v>223</v>
      </c>
      <c r="C139" s="15"/>
      <c r="D139" s="8"/>
      <c r="E139" s="15">
        <f>E128 - E72</f>
        <v>5.5</v>
      </c>
      <c r="F139" s="112">
        <f>F128 - F72</f>
        <v>-2</v>
      </c>
      <c r="G139" s="112">
        <f t="shared" ref="G139:P139" si="32">G128 - G72</f>
        <v>-6</v>
      </c>
      <c r="H139" s="112">
        <f t="shared" si="32"/>
        <v>0.5</v>
      </c>
      <c r="I139" s="112">
        <f t="shared" si="32"/>
        <v>2.5</v>
      </c>
      <c r="J139" s="112">
        <f t="shared" si="32"/>
        <v>1.5</v>
      </c>
      <c r="K139" s="112">
        <f t="shared" si="32"/>
        <v>1.5</v>
      </c>
      <c r="L139" s="112">
        <f t="shared" si="32"/>
        <v>1.5</v>
      </c>
      <c r="M139" s="112">
        <f t="shared" si="32"/>
        <v>1.5</v>
      </c>
      <c r="N139" s="112">
        <f t="shared" si="32"/>
        <v>1.5</v>
      </c>
      <c r="O139" s="112">
        <f t="shared" si="32"/>
        <v>1.5</v>
      </c>
      <c r="P139" s="112">
        <f t="shared" si="32"/>
        <v>1.5</v>
      </c>
      <c r="Q139" s="13"/>
    </row>
    <row r="140" spans="2:17" x14ac:dyDescent="0.35">
      <c r="B140" s="19" t="s">
        <v>224</v>
      </c>
      <c r="C140" s="36"/>
      <c r="D140" s="20"/>
      <c r="E140" s="36"/>
      <c r="F140" s="113">
        <f>F141</f>
        <v>-2</v>
      </c>
      <c r="G140" s="113">
        <f>F140+G141</f>
        <v>-5</v>
      </c>
      <c r="H140" s="113">
        <f t="shared" ref="H140:P140" si="33">G140+H141</f>
        <v>-2</v>
      </c>
      <c r="I140" s="113">
        <f t="shared" si="33"/>
        <v>3</v>
      </c>
      <c r="J140" s="113">
        <f t="shared" si="33"/>
        <v>7</v>
      </c>
      <c r="K140" s="113">
        <f t="shared" si="33"/>
        <v>12</v>
      </c>
      <c r="L140" s="113">
        <f t="shared" si="33"/>
        <v>17</v>
      </c>
      <c r="M140" s="113">
        <f t="shared" si="33"/>
        <v>22</v>
      </c>
      <c r="N140" s="113">
        <f t="shared" si="33"/>
        <v>27</v>
      </c>
      <c r="O140" s="113">
        <f t="shared" si="33"/>
        <v>32</v>
      </c>
      <c r="P140" s="113">
        <f t="shared" si="33"/>
        <v>37</v>
      </c>
      <c r="Q140" s="21"/>
    </row>
    <row r="141" spans="2:17" ht="15" thickBot="1" x14ac:dyDescent="0.4">
      <c r="B141" s="40" t="s">
        <v>223</v>
      </c>
      <c r="C141" s="38"/>
      <c r="D141" s="17"/>
      <c r="E141" s="38">
        <f t="shared" ref="E141:P141" si="34">E128 - E73</f>
        <v>37</v>
      </c>
      <c r="F141" s="114">
        <f t="shared" si="34"/>
        <v>-2</v>
      </c>
      <c r="G141" s="114">
        <f t="shared" si="34"/>
        <v>-3</v>
      </c>
      <c r="H141" s="114">
        <f t="shared" si="34"/>
        <v>3</v>
      </c>
      <c r="I141" s="114">
        <f t="shared" si="34"/>
        <v>5</v>
      </c>
      <c r="J141" s="114">
        <f t="shared" si="34"/>
        <v>4</v>
      </c>
      <c r="K141" s="114">
        <f t="shared" si="34"/>
        <v>5</v>
      </c>
      <c r="L141" s="114">
        <f t="shared" si="34"/>
        <v>5</v>
      </c>
      <c r="M141" s="114">
        <f t="shared" si="34"/>
        <v>5</v>
      </c>
      <c r="N141" s="114">
        <f t="shared" si="34"/>
        <v>5</v>
      </c>
      <c r="O141" s="114">
        <f t="shared" si="34"/>
        <v>5</v>
      </c>
      <c r="P141" s="114">
        <f t="shared" si="34"/>
        <v>5</v>
      </c>
      <c r="Q141" s="18"/>
    </row>
    <row r="142" spans="2:17" ht="15" thickBot="1" x14ac:dyDescent="0.4"/>
    <row r="143" spans="2:17" ht="15" thickBot="1" x14ac:dyDescent="0.4">
      <c r="B143" s="37" t="s">
        <v>198</v>
      </c>
      <c r="C143" s="10"/>
      <c r="D143" s="10"/>
      <c r="E143" s="10"/>
      <c r="F143" s="10">
        <f t="shared" ref="F143:P143" si="35">F11</f>
        <v>0</v>
      </c>
      <c r="G143" s="10">
        <f t="shared" si="35"/>
        <v>0</v>
      </c>
      <c r="H143" s="10">
        <f t="shared" si="35"/>
        <v>0</v>
      </c>
      <c r="I143" s="10">
        <f t="shared" si="35"/>
        <v>0</v>
      </c>
      <c r="J143" s="10">
        <f t="shared" si="35"/>
        <v>0</v>
      </c>
      <c r="K143" s="10">
        <f t="shared" si="35"/>
        <v>0</v>
      </c>
      <c r="L143" s="10">
        <f t="shared" si="35"/>
        <v>0</v>
      </c>
      <c r="M143" s="10">
        <f t="shared" si="35"/>
        <v>0</v>
      </c>
      <c r="N143" s="10">
        <f t="shared" si="35"/>
        <v>0</v>
      </c>
      <c r="O143" s="10">
        <f t="shared" si="35"/>
        <v>0</v>
      </c>
      <c r="P143" s="11">
        <f t="shared" si="35"/>
        <v>0</v>
      </c>
      <c r="Q143" s="11"/>
    </row>
    <row r="144" spans="2:17" x14ac:dyDescent="0.35">
      <c r="B144" s="19" t="s">
        <v>222</v>
      </c>
      <c r="C144" s="36"/>
      <c r="D144" s="39"/>
      <c r="E144" s="115"/>
      <c r="F144" s="108">
        <f>F145</f>
        <v>-2</v>
      </c>
      <c r="G144" s="108">
        <f>F144+G145</f>
        <v>-8</v>
      </c>
      <c r="H144" s="108">
        <f t="shared" ref="H144:P144" si="36">G144+H145</f>
        <v>-7.5</v>
      </c>
      <c r="I144" s="108">
        <f t="shared" si="36"/>
        <v>-5</v>
      </c>
      <c r="J144" s="108">
        <f t="shared" si="36"/>
        <v>-3.5</v>
      </c>
      <c r="K144" s="108">
        <f t="shared" si="36"/>
        <v>-2</v>
      </c>
      <c r="L144" s="108">
        <f t="shared" si="36"/>
        <v>-0.5</v>
      </c>
      <c r="M144" s="108">
        <f t="shared" si="36"/>
        <v>1</v>
      </c>
      <c r="N144" s="108">
        <f t="shared" si="36"/>
        <v>2.5</v>
      </c>
      <c r="O144" s="108">
        <f t="shared" si="36"/>
        <v>4</v>
      </c>
      <c r="P144" s="108">
        <f t="shared" si="36"/>
        <v>5.5</v>
      </c>
      <c r="Q144" s="21"/>
    </row>
    <row r="145" spans="2:17" ht="15" thickBot="1" x14ac:dyDescent="0.4">
      <c r="B145" s="40" t="s">
        <v>199</v>
      </c>
      <c r="C145" s="38"/>
      <c r="D145" s="17"/>
      <c r="E145" s="116">
        <f>SUM(F145:P145)</f>
        <v>5.5</v>
      </c>
      <c r="F145" s="109">
        <f>(F128 - F72) / (1+'Viability comparison'!$D$6)^0</f>
        <v>-2</v>
      </c>
      <c r="G145" s="109">
        <f>(G128 - G72) / (1+'Viability comparison'!$D$6)^1</f>
        <v>-6</v>
      </c>
      <c r="H145" s="109">
        <f>(H128 - H72) / (1+'Viability comparison'!$D$6)^2</f>
        <v>0.5</v>
      </c>
      <c r="I145" s="109">
        <f>(I128 - I72) / (1+'Viability comparison'!$D$6)^3</f>
        <v>2.5</v>
      </c>
      <c r="J145" s="109">
        <f>(J128 - J72) / (1+'Viability comparison'!$D$6)^4</f>
        <v>1.5</v>
      </c>
      <c r="K145" s="109">
        <f>(K128 - K72) / (1+'Viability comparison'!$D$6)^5</f>
        <v>1.5</v>
      </c>
      <c r="L145" s="109">
        <f>(L128 - L72) / (1+'Viability comparison'!$D$6)^6</f>
        <v>1.5</v>
      </c>
      <c r="M145" s="109">
        <f>(M128 - M72) / (1+'Viability comparison'!$D$6)^7</f>
        <v>1.5</v>
      </c>
      <c r="N145" s="109">
        <f>(N128 - N72) / (1+'Viability comparison'!$D$6)^8</f>
        <v>1.5</v>
      </c>
      <c r="O145" s="109">
        <f>(O128 - O72) / (1+'Viability comparison'!$D$6)^9</f>
        <v>1.5</v>
      </c>
      <c r="P145" s="109">
        <f>(P128 - P72) / (1+'Viability comparison'!$D$6)^10</f>
        <v>1.5</v>
      </c>
      <c r="Q145" s="13"/>
    </row>
    <row r="146" spans="2:17" x14ac:dyDescent="0.35">
      <c r="B146" s="12" t="s">
        <v>222</v>
      </c>
      <c r="C146" s="15"/>
      <c r="D146" s="8"/>
      <c r="E146" s="117"/>
      <c r="F146" s="110">
        <f>F147</f>
        <v>-2</v>
      </c>
      <c r="G146" s="110">
        <f>F146+G147</f>
        <v>-8</v>
      </c>
      <c r="H146" s="110">
        <f t="shared" ref="H146:P146" si="37">G146+H147</f>
        <v>-7.5</v>
      </c>
      <c r="I146" s="110">
        <f t="shared" si="37"/>
        <v>-5</v>
      </c>
      <c r="J146" s="110">
        <f t="shared" si="37"/>
        <v>-3.5</v>
      </c>
      <c r="K146" s="110">
        <f t="shared" si="37"/>
        <v>-2</v>
      </c>
      <c r="L146" s="110">
        <f t="shared" si="37"/>
        <v>-0.5</v>
      </c>
      <c r="M146" s="110">
        <f t="shared" si="37"/>
        <v>1</v>
      </c>
      <c r="N146" s="110">
        <f t="shared" si="37"/>
        <v>2.5</v>
      </c>
      <c r="O146" s="110">
        <f t="shared" si="37"/>
        <v>4</v>
      </c>
      <c r="P146" s="110">
        <f t="shared" si="37"/>
        <v>5.5</v>
      </c>
      <c r="Q146" s="13"/>
    </row>
    <row r="147" spans="2:17" ht="15" thickBot="1" x14ac:dyDescent="0.4">
      <c r="B147" s="40" t="s">
        <v>200</v>
      </c>
      <c r="C147" s="17"/>
      <c r="D147" s="17"/>
      <c r="E147" s="116">
        <f>SUM(F147:P147)</f>
        <v>5.5</v>
      </c>
      <c r="F147" s="109">
        <f>(F128 - F72) / (1+'Viability comparison'!$D$18)^0</f>
        <v>-2</v>
      </c>
      <c r="G147" s="109">
        <f>(G128 - G72) / (1+'Viability comparison'!$D$18)^1</f>
        <v>-6</v>
      </c>
      <c r="H147" s="109">
        <f>(H128 - H72) / (1+'Viability comparison'!$D$18)^2</f>
        <v>0.5</v>
      </c>
      <c r="I147" s="109">
        <f>(I128 - I72) / (1+'Viability comparison'!$D$18)^3</f>
        <v>2.5</v>
      </c>
      <c r="J147" s="109">
        <f>(J128 - J72) / (1+'Viability comparison'!$D$18)^4</f>
        <v>1.5</v>
      </c>
      <c r="K147" s="109">
        <f>(K128 - K72) / (1+'Viability comparison'!$D$18)^5</f>
        <v>1.5</v>
      </c>
      <c r="L147" s="109">
        <f>(L128 - L72) / (1+'Viability comparison'!$D$18)^6</f>
        <v>1.5</v>
      </c>
      <c r="M147" s="109">
        <f>(M128 - M72) / (1+'Viability comparison'!$D$18)^7</f>
        <v>1.5</v>
      </c>
      <c r="N147" s="109">
        <f>(N128 - N72) / (1+'Viability comparison'!$D$18)^8</f>
        <v>1.5</v>
      </c>
      <c r="O147" s="109">
        <f>(O128 - O72) / (1+'Viability comparison'!$D$18)^9</f>
        <v>1.5</v>
      </c>
      <c r="P147" s="109">
        <f>(P128 - P72) / (1+'Viability comparison'!$D$18)^10</f>
        <v>1.5</v>
      </c>
      <c r="Q147" s="18"/>
    </row>
  </sheetData>
  <sheetProtection sheet="1" selectLockedCells="1"/>
  <mergeCells count="4">
    <mergeCell ref="B3:Q3"/>
    <mergeCell ref="B5:D5"/>
    <mergeCell ref="W5:Y5"/>
    <mergeCell ref="W19:Y19"/>
  </mergeCells>
  <conditionalFormatting sqref="F138:P138">
    <cfRule type="iconSet" priority="4">
      <iconSet iconSet="3Arrows">
        <cfvo type="percent" val="0"/>
        <cfvo type="num" val="0"/>
        <cfvo type="num" val="0" gte="0"/>
      </iconSet>
    </cfRule>
  </conditionalFormatting>
  <conditionalFormatting sqref="F140:P140">
    <cfRule type="iconSet" priority="3">
      <iconSet iconSet="3Arrows" showValue="0">
        <cfvo type="percent" val="0"/>
        <cfvo type="num" val="0"/>
        <cfvo type="num" val="0" gte="0"/>
      </iconSet>
    </cfRule>
  </conditionalFormatting>
  <conditionalFormatting sqref="F144:P144">
    <cfRule type="iconSet" priority="2">
      <iconSet iconSet="3Arrows">
        <cfvo type="percent" val="0"/>
        <cfvo type="num" val="0"/>
        <cfvo type="num" val="0" gte="0"/>
      </iconSet>
    </cfRule>
  </conditionalFormatting>
  <conditionalFormatting sqref="F146:P146">
    <cfRule type="iconSet" priority="1">
      <iconSet iconSet="3Arrows">
        <cfvo type="percent" val="0"/>
        <cfvo type="num" val="0"/>
        <cfvo type="num" val="0" gte="0"/>
      </iconSet>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B9DC-4E6F-43BC-8EB8-620CE169FE15}">
  <dimension ref="A1:Z147"/>
  <sheetViews>
    <sheetView showGridLines="0" workbookViewId="0">
      <selection activeCell="F8" sqref="F8"/>
    </sheetView>
  </sheetViews>
  <sheetFormatPr defaultRowHeight="14.5" x14ac:dyDescent="0.35"/>
  <cols>
    <col min="1" max="1" width="3.81640625" customWidth="1"/>
    <col min="2" max="3" width="3.453125" customWidth="1"/>
    <col min="4" max="4" width="73" customWidth="1"/>
    <col min="5" max="16" width="11.6328125" customWidth="1"/>
    <col min="17" max="17" width="1.81640625" customWidth="1"/>
    <col min="18" max="18" width="1.90625" customWidth="1"/>
    <col min="19" max="19" width="28.54296875" customWidth="1"/>
    <col min="20" max="20" width="2" customWidth="1"/>
    <col min="21" max="21" width="1.36328125" customWidth="1"/>
    <col min="22" max="22" width="1.81640625" customWidth="1"/>
    <col min="23" max="23" width="3.1796875" customWidth="1"/>
    <col min="24" max="24" width="24.1796875" customWidth="1"/>
    <col min="25" max="25" width="37.453125" customWidth="1"/>
    <col min="26" max="26" width="3.1796875" customWidth="1"/>
  </cols>
  <sheetData>
    <row r="1" spans="1:26" x14ac:dyDescent="0.35">
      <c r="A1" s="55" t="b">
        <f>(A6+A28+A49+A74+A107)&lt;&gt;0</f>
        <v>0</v>
      </c>
      <c r="C1" s="34"/>
    </row>
    <row r="2" spans="1:26" ht="33.5" x14ac:dyDescent="0.35">
      <c r="B2" s="5" t="s">
        <v>215</v>
      </c>
      <c r="C2" s="5"/>
    </row>
    <row r="3" spans="1:26" ht="38" customHeight="1" x14ac:dyDescent="0.35">
      <c r="B3" s="122" t="s">
        <v>113</v>
      </c>
      <c r="C3" s="122"/>
      <c r="D3" s="122"/>
      <c r="E3" s="122"/>
      <c r="F3" s="122"/>
      <c r="G3" s="122"/>
      <c r="H3" s="122"/>
      <c r="I3" s="122"/>
      <c r="J3" s="122"/>
      <c r="K3" s="122"/>
      <c r="L3" s="122"/>
      <c r="M3" s="122"/>
      <c r="N3" s="122"/>
      <c r="O3" s="122"/>
      <c r="P3" s="122"/>
      <c r="Q3" s="122"/>
    </row>
    <row r="4" spans="1:26" ht="15" thickBot="1" x14ac:dyDescent="0.4"/>
    <row r="5" spans="1:26" x14ac:dyDescent="0.35">
      <c r="B5" s="123" t="s">
        <v>116</v>
      </c>
      <c r="C5" s="124"/>
      <c r="D5" s="124"/>
      <c r="E5" s="9" t="s">
        <v>202</v>
      </c>
      <c r="F5" s="84">
        <f>'Option 1'!F5</f>
        <v>2022</v>
      </c>
      <c r="G5" s="84">
        <f>'Option 1'!G5</f>
        <v>2023</v>
      </c>
      <c r="H5" s="84">
        <f>'Option 1'!H5</f>
        <v>2024</v>
      </c>
      <c r="I5" s="84">
        <f>'Option 1'!I5</f>
        <v>2025</v>
      </c>
      <c r="J5" s="84">
        <f>'Option 1'!J5</f>
        <v>2026</v>
      </c>
      <c r="K5" s="84">
        <f>'Option 1'!K5</f>
        <v>2027</v>
      </c>
      <c r="L5" s="84">
        <f>'Option 1'!L5</f>
        <v>2028</v>
      </c>
      <c r="M5" s="84">
        <f>'Option 1'!M5</f>
        <v>2029</v>
      </c>
      <c r="N5" s="84">
        <f>'Option 1'!N5</f>
        <v>2030</v>
      </c>
      <c r="O5" s="84">
        <f>'Option 1'!O5</f>
        <v>2031</v>
      </c>
      <c r="P5" s="84">
        <f>'Option 1'!P5</f>
        <v>2032</v>
      </c>
      <c r="Q5" s="11"/>
      <c r="S5" s="25" t="s">
        <v>201</v>
      </c>
      <c r="V5" s="6"/>
      <c r="W5" s="125" t="s">
        <v>205</v>
      </c>
      <c r="X5" s="125"/>
      <c r="Y5" s="125"/>
      <c r="Z5" s="6"/>
    </row>
    <row r="6" spans="1:26" x14ac:dyDescent="0.35">
      <c r="A6" s="55" t="b">
        <f>(B7+B11+B18)&lt;&gt;0</f>
        <v>0</v>
      </c>
      <c r="B6" s="12" t="s">
        <v>114</v>
      </c>
      <c r="C6" s="15"/>
      <c r="D6" s="8"/>
      <c r="E6" s="8"/>
      <c r="F6" s="8"/>
      <c r="G6" s="8"/>
      <c r="H6" s="8"/>
      <c r="I6" s="8"/>
      <c r="J6" s="8"/>
      <c r="K6" s="8"/>
      <c r="L6" s="8"/>
      <c r="M6" s="8"/>
      <c r="N6" s="8"/>
      <c r="O6" s="8"/>
      <c r="P6" s="8"/>
      <c r="Q6" s="13"/>
      <c r="S6" s="29" t="s">
        <v>203</v>
      </c>
      <c r="V6" s="7"/>
      <c r="W6" s="7" t="s">
        <v>204</v>
      </c>
      <c r="X6" s="7"/>
      <c r="Y6" s="7"/>
      <c r="Z6" s="7"/>
    </row>
    <row r="7" spans="1:26" x14ac:dyDescent="0.35">
      <c r="B7" s="54" t="b" cm="1">
        <f t="array" ref="B7">SUMPRODUCT(--(F8:P10&lt;&gt;""))&lt;&gt;0</f>
        <v>0</v>
      </c>
      <c r="C7" s="15" t="s">
        <v>115</v>
      </c>
      <c r="D7" s="8"/>
      <c r="E7" s="8"/>
      <c r="F7" s="8"/>
      <c r="G7" s="8"/>
      <c r="H7" s="8"/>
      <c r="I7" s="8"/>
      <c r="J7" s="8"/>
      <c r="K7" s="8"/>
      <c r="L7" s="8"/>
      <c r="M7" s="8"/>
      <c r="N7" s="8"/>
      <c r="O7" s="8"/>
      <c r="P7" s="8"/>
      <c r="Q7" s="13"/>
      <c r="S7" s="27"/>
      <c r="V7" s="7"/>
      <c r="W7" s="7"/>
      <c r="X7" s="7" t="s">
        <v>206</v>
      </c>
      <c r="Y7" s="7" t="s">
        <v>207</v>
      </c>
      <c r="Z7" s="7"/>
    </row>
    <row r="8" spans="1:26" x14ac:dyDescent="0.35">
      <c r="B8" s="12"/>
      <c r="C8" s="15"/>
      <c r="D8" s="35" t="s">
        <v>117</v>
      </c>
      <c r="E8" s="1">
        <f t="shared" ref="E8:E10" si="0">SUM(F8:P8)</f>
        <v>0</v>
      </c>
      <c r="F8" s="2"/>
      <c r="G8" s="2"/>
      <c r="H8" s="2"/>
      <c r="I8" s="2"/>
      <c r="J8" s="2"/>
      <c r="K8" s="2"/>
      <c r="L8" s="2"/>
      <c r="M8" s="2"/>
      <c r="N8" s="2"/>
      <c r="O8" s="2"/>
      <c r="P8" s="2"/>
      <c r="Q8" s="13"/>
      <c r="S8" s="27"/>
      <c r="V8" s="7"/>
      <c r="W8" s="7">
        <v>1</v>
      </c>
      <c r="X8" s="2"/>
      <c r="Y8" s="2"/>
      <c r="Z8" s="7"/>
    </row>
    <row r="9" spans="1:26" x14ac:dyDescent="0.35">
      <c r="B9" s="12"/>
      <c r="C9" s="15"/>
      <c r="D9" s="8" t="s">
        <v>118</v>
      </c>
      <c r="E9" s="1">
        <f t="shared" si="0"/>
        <v>0</v>
      </c>
      <c r="F9" s="2"/>
      <c r="G9" s="2"/>
      <c r="H9" s="2"/>
      <c r="I9" s="2"/>
      <c r="J9" s="2"/>
      <c r="K9" s="2"/>
      <c r="L9" s="2"/>
      <c r="M9" s="2"/>
      <c r="N9" s="2"/>
      <c r="O9" s="2"/>
      <c r="P9" s="2"/>
      <c r="Q9" s="13"/>
      <c r="S9" s="27"/>
      <c r="V9" s="7"/>
      <c r="W9" s="7">
        <v>2</v>
      </c>
      <c r="X9" s="2"/>
      <c r="Y9" s="2"/>
      <c r="Z9" s="7"/>
    </row>
    <row r="10" spans="1:26" x14ac:dyDescent="0.35">
      <c r="B10" s="12"/>
      <c r="C10" s="15"/>
      <c r="D10" s="8" t="s">
        <v>119</v>
      </c>
      <c r="E10" s="1">
        <f t="shared" si="0"/>
        <v>0</v>
      </c>
      <c r="F10" s="2"/>
      <c r="G10" s="2"/>
      <c r="H10" s="2"/>
      <c r="I10" s="2"/>
      <c r="J10" s="2"/>
      <c r="K10" s="2"/>
      <c r="L10" s="2"/>
      <c r="M10" s="2"/>
      <c r="N10" s="2"/>
      <c r="O10" s="2"/>
      <c r="P10" s="2"/>
      <c r="Q10" s="13"/>
      <c r="S10" s="27"/>
      <c r="V10" s="7"/>
      <c r="W10" s="7">
        <v>3</v>
      </c>
      <c r="X10" s="2"/>
      <c r="Y10" s="2"/>
      <c r="Z10" s="7"/>
    </row>
    <row r="11" spans="1:26" x14ac:dyDescent="0.35">
      <c r="B11" s="54" t="b" cm="1">
        <f t="array" ref="B11">SUMPRODUCT(--(F12:P17&lt;&gt;""))&lt;&gt;0</f>
        <v>0</v>
      </c>
      <c r="C11" s="15" t="s">
        <v>221</v>
      </c>
      <c r="D11" s="8"/>
      <c r="E11" s="8"/>
      <c r="F11" s="8"/>
      <c r="G11" s="8"/>
      <c r="H11" s="8"/>
      <c r="I11" s="8"/>
      <c r="J11" s="8"/>
      <c r="K11" s="8"/>
      <c r="L11" s="8"/>
      <c r="M11" s="8"/>
      <c r="N11" s="8"/>
      <c r="O11" s="8"/>
      <c r="P11" s="8"/>
      <c r="Q11" s="13"/>
      <c r="S11" s="28"/>
      <c r="V11" s="7"/>
      <c r="W11" s="7">
        <v>4</v>
      </c>
      <c r="X11" s="2"/>
      <c r="Y11" s="2"/>
      <c r="Z11" s="7"/>
    </row>
    <row r="12" spans="1:26" x14ac:dyDescent="0.35">
      <c r="B12" s="14"/>
      <c r="C12" s="8"/>
      <c r="D12" s="8" t="s">
        <v>120</v>
      </c>
      <c r="E12" s="1">
        <f t="shared" ref="E12:E14" si="1">SUM(F12:P12)</f>
        <v>0</v>
      </c>
      <c r="F12" s="2"/>
      <c r="G12" s="2"/>
      <c r="H12" s="2"/>
      <c r="I12" s="2"/>
      <c r="J12" s="2"/>
      <c r="K12" s="2"/>
      <c r="L12" s="2"/>
      <c r="M12" s="2"/>
      <c r="N12" s="2"/>
      <c r="O12" s="2"/>
      <c r="P12" s="2"/>
      <c r="Q12" s="13"/>
      <c r="S12" s="28"/>
      <c r="V12" s="7"/>
      <c r="W12" s="7">
        <v>5</v>
      </c>
      <c r="X12" s="2"/>
      <c r="Y12" s="2"/>
      <c r="Z12" s="7"/>
    </row>
    <row r="13" spans="1:26" x14ac:dyDescent="0.35">
      <c r="B13" s="14"/>
      <c r="C13" s="8"/>
      <c r="D13" s="8" t="s">
        <v>121</v>
      </c>
      <c r="E13" s="1">
        <f t="shared" si="1"/>
        <v>0</v>
      </c>
      <c r="F13" s="57"/>
      <c r="G13" s="2"/>
      <c r="H13" s="2"/>
      <c r="I13" s="2"/>
      <c r="J13" s="2"/>
      <c r="K13" s="2"/>
      <c r="L13" s="2"/>
      <c r="M13" s="2"/>
      <c r="N13" s="2"/>
      <c r="O13" s="2"/>
      <c r="P13" s="2"/>
      <c r="Q13" s="13"/>
      <c r="S13" s="28"/>
      <c r="V13" s="7"/>
      <c r="W13" s="7" t="s">
        <v>208</v>
      </c>
      <c r="X13" s="7"/>
      <c r="Y13" s="7" t="s">
        <v>207</v>
      </c>
      <c r="Z13" s="7"/>
    </row>
    <row r="14" spans="1:26" x14ac:dyDescent="0.35">
      <c r="B14" s="14"/>
      <c r="C14" s="8"/>
      <c r="D14" s="8" t="s">
        <v>169</v>
      </c>
      <c r="E14" s="1">
        <f t="shared" si="1"/>
        <v>0</v>
      </c>
      <c r="F14" s="2"/>
      <c r="G14" s="2"/>
      <c r="H14" s="2"/>
      <c r="I14" s="2"/>
      <c r="J14" s="2"/>
      <c r="K14" s="2"/>
      <c r="L14" s="2"/>
      <c r="M14" s="2"/>
      <c r="N14" s="2"/>
      <c r="O14" s="2"/>
      <c r="P14" s="2"/>
      <c r="Q14" s="13"/>
      <c r="S14" s="28"/>
      <c r="V14" s="7"/>
      <c r="W14" s="7">
        <v>6</v>
      </c>
      <c r="X14" s="2"/>
      <c r="Y14" s="2"/>
      <c r="Z14" s="7"/>
    </row>
    <row r="15" spans="1:26" x14ac:dyDescent="0.35">
      <c r="B15" s="14"/>
      <c r="C15" s="8"/>
      <c r="D15" s="8" t="s">
        <v>122</v>
      </c>
      <c r="E15" s="1">
        <f>SUM(F15:P15)</f>
        <v>0</v>
      </c>
      <c r="F15" s="2"/>
      <c r="G15" s="2"/>
      <c r="H15" s="2"/>
      <c r="I15" s="2"/>
      <c r="J15" s="2"/>
      <c r="K15" s="2"/>
      <c r="L15" s="2"/>
      <c r="M15" s="2"/>
      <c r="N15" s="2"/>
      <c r="O15" s="2"/>
      <c r="P15" s="2"/>
      <c r="Q15" s="13"/>
      <c r="S15" s="28"/>
      <c r="V15" s="7"/>
      <c r="W15" s="7">
        <v>7</v>
      </c>
      <c r="X15" s="2"/>
      <c r="Y15" s="2"/>
      <c r="Z15" s="7"/>
    </row>
    <row r="16" spans="1:26" x14ac:dyDescent="0.35">
      <c r="B16" s="14"/>
      <c r="C16" s="8"/>
      <c r="D16" s="8" t="s">
        <v>123</v>
      </c>
      <c r="E16" s="1">
        <f t="shared" ref="E16:E17" si="2">SUM(F16:P16)</f>
        <v>0</v>
      </c>
      <c r="F16" s="2"/>
      <c r="G16" s="2"/>
      <c r="H16" s="2"/>
      <c r="I16" s="2"/>
      <c r="J16" s="2"/>
      <c r="K16" s="2"/>
      <c r="L16" s="2"/>
      <c r="M16" s="2"/>
      <c r="N16" s="2"/>
      <c r="O16" s="2"/>
      <c r="P16" s="2"/>
      <c r="Q16" s="13"/>
      <c r="S16" s="28"/>
      <c r="V16" s="7"/>
      <c r="W16" s="7">
        <v>8</v>
      </c>
      <c r="X16" s="2"/>
      <c r="Y16" s="2"/>
      <c r="Z16" s="7"/>
    </row>
    <row r="17" spans="1:26" x14ac:dyDescent="0.35">
      <c r="B17" s="14"/>
      <c r="C17" s="8"/>
      <c r="D17" s="8" t="s">
        <v>124</v>
      </c>
      <c r="E17" s="1">
        <f t="shared" si="2"/>
        <v>0</v>
      </c>
      <c r="F17" s="2"/>
      <c r="G17" s="2"/>
      <c r="H17" s="2"/>
      <c r="I17" s="2"/>
      <c r="J17" s="2"/>
      <c r="K17" s="2"/>
      <c r="L17" s="2"/>
      <c r="M17" s="2"/>
      <c r="N17" s="2"/>
      <c r="O17" s="2"/>
      <c r="P17" s="2"/>
      <c r="Q17" s="13"/>
      <c r="S17" s="28"/>
      <c r="V17" s="7"/>
      <c r="W17" s="7">
        <v>9</v>
      </c>
      <c r="X17" s="2"/>
      <c r="Y17" s="2"/>
      <c r="Z17" s="7"/>
    </row>
    <row r="18" spans="1:26" x14ac:dyDescent="0.35">
      <c r="B18" s="54" t="b" cm="1">
        <f t="array" ref="B18">SUMPRODUCT(--(F19:P21&lt;&gt;""))&lt;&gt;0</f>
        <v>0</v>
      </c>
      <c r="C18" s="15" t="s">
        <v>125</v>
      </c>
      <c r="D18" s="8"/>
      <c r="E18" s="8"/>
      <c r="F18" s="8"/>
      <c r="G18" s="8"/>
      <c r="H18" s="8"/>
      <c r="I18" s="8"/>
      <c r="J18" s="8"/>
      <c r="K18" s="8"/>
      <c r="L18" s="8"/>
      <c r="M18" s="8"/>
      <c r="N18" s="8"/>
      <c r="O18" s="8"/>
      <c r="P18" s="8"/>
      <c r="Q18" s="13"/>
      <c r="S18" s="28"/>
      <c r="V18" s="7"/>
      <c r="W18" s="7"/>
      <c r="X18" s="7"/>
      <c r="Y18" s="7"/>
      <c r="Z18" s="7"/>
    </row>
    <row r="19" spans="1:26" x14ac:dyDescent="0.35">
      <c r="B19" s="14"/>
      <c r="C19" s="8"/>
      <c r="D19" s="8" t="s">
        <v>126</v>
      </c>
      <c r="E19" s="1">
        <f t="shared" ref="E19:E21" si="3">SUM(F19:P19)</f>
        <v>0</v>
      </c>
      <c r="F19" s="2"/>
      <c r="G19" s="2"/>
      <c r="H19" s="2"/>
      <c r="I19" s="2"/>
      <c r="J19" s="2"/>
      <c r="K19" s="2"/>
      <c r="L19" s="2"/>
      <c r="M19" s="2"/>
      <c r="N19" s="2"/>
      <c r="O19" s="2"/>
      <c r="P19" s="2"/>
      <c r="Q19" s="13"/>
      <c r="S19" s="28"/>
      <c r="V19" s="7"/>
      <c r="W19" s="125" t="s">
        <v>209</v>
      </c>
      <c r="X19" s="125"/>
      <c r="Y19" s="125"/>
      <c r="Z19" s="7"/>
    </row>
    <row r="20" spans="1:26" x14ac:dyDescent="0.35">
      <c r="B20" s="14"/>
      <c r="C20" s="8"/>
      <c r="D20" s="8" t="s">
        <v>127</v>
      </c>
      <c r="E20" s="1">
        <f t="shared" si="3"/>
        <v>0</v>
      </c>
      <c r="F20" s="3"/>
      <c r="G20" s="3"/>
      <c r="H20" s="3"/>
      <c r="I20" s="3"/>
      <c r="J20" s="3"/>
      <c r="K20" s="3"/>
      <c r="L20" s="3"/>
      <c r="M20" s="3"/>
      <c r="N20" s="3"/>
      <c r="O20" s="3"/>
      <c r="P20" s="3"/>
      <c r="Q20" s="13"/>
      <c r="S20" s="28"/>
      <c r="V20" s="7"/>
      <c r="W20" s="7" t="s">
        <v>210</v>
      </c>
      <c r="X20" s="7"/>
      <c r="Y20" s="7"/>
      <c r="Z20" s="7"/>
    </row>
    <row r="21" spans="1:26" ht="15" thickBot="1" x14ac:dyDescent="0.4">
      <c r="B21" s="14"/>
      <c r="C21" s="8"/>
      <c r="D21" s="8" t="s">
        <v>128</v>
      </c>
      <c r="E21" s="31">
        <f t="shared" si="3"/>
        <v>0</v>
      </c>
      <c r="F21" s="45"/>
      <c r="G21" s="45"/>
      <c r="H21" s="45"/>
      <c r="I21" s="45"/>
      <c r="J21" s="45"/>
      <c r="K21" s="45"/>
      <c r="L21" s="45"/>
      <c r="M21" s="45"/>
      <c r="N21" s="45"/>
      <c r="O21" s="45"/>
      <c r="P21" s="45"/>
      <c r="Q21" s="13"/>
      <c r="S21" s="28"/>
      <c r="V21" s="7"/>
      <c r="W21" s="7"/>
      <c r="X21" s="7" t="s">
        <v>211</v>
      </c>
      <c r="Y21" s="7" t="s">
        <v>212</v>
      </c>
      <c r="Z21" s="7"/>
    </row>
    <row r="22" spans="1:26" ht="15" thickTop="1" x14ac:dyDescent="0.35">
      <c r="B22" s="14"/>
      <c r="C22" s="15" t="s">
        <v>129</v>
      </c>
      <c r="D22" s="15"/>
      <c r="E22" s="32">
        <f>SUM(E8:E10,E12:E17,E19:E21)</f>
        <v>0</v>
      </c>
      <c r="F22" s="32">
        <f t="shared" ref="F22:P22" si="4">SUM(F8:F10,F12:F17,F19:F21)</f>
        <v>0</v>
      </c>
      <c r="G22" s="32">
        <f t="shared" si="4"/>
        <v>0</v>
      </c>
      <c r="H22" s="32">
        <f t="shared" si="4"/>
        <v>0</v>
      </c>
      <c r="I22" s="32">
        <f t="shared" si="4"/>
        <v>0</v>
      </c>
      <c r="J22" s="32">
        <f t="shared" si="4"/>
        <v>0</v>
      </c>
      <c r="K22" s="32">
        <f t="shared" si="4"/>
        <v>0</v>
      </c>
      <c r="L22" s="32">
        <f t="shared" si="4"/>
        <v>0</v>
      </c>
      <c r="M22" s="32">
        <f t="shared" si="4"/>
        <v>0</v>
      </c>
      <c r="N22" s="32">
        <f t="shared" si="4"/>
        <v>0</v>
      </c>
      <c r="O22" s="32">
        <f t="shared" si="4"/>
        <v>0</v>
      </c>
      <c r="P22" s="32">
        <f t="shared" si="4"/>
        <v>0</v>
      </c>
      <c r="Q22" s="13"/>
      <c r="S22" s="28"/>
      <c r="V22" s="7"/>
      <c r="W22" s="7">
        <v>1</v>
      </c>
      <c r="X22" s="2"/>
      <c r="Y22" s="2"/>
      <c r="Z22" s="7"/>
    </row>
    <row r="23" spans="1:26" x14ac:dyDescent="0.35">
      <c r="B23" s="14"/>
      <c r="C23" s="15"/>
      <c r="D23" s="35" t="s">
        <v>130</v>
      </c>
      <c r="E23" s="82">
        <f>SUM(F23:P24)</f>
        <v>0</v>
      </c>
      <c r="F23" s="82">
        <f>F22/(1+'Viability comparison'!$D$6)^0</f>
        <v>0</v>
      </c>
      <c r="G23" s="82">
        <f>G22/(1+'Viability comparison'!$D$6)^1</f>
        <v>0</v>
      </c>
      <c r="H23" s="82">
        <f>H22/(1+'Viability comparison'!$D$6)^2</f>
        <v>0</v>
      </c>
      <c r="I23" s="82">
        <f>I22/(1+'Viability comparison'!$D$6)^3</f>
        <v>0</v>
      </c>
      <c r="J23" s="82">
        <f>J22/(1+'Viability comparison'!$D$6)^4</f>
        <v>0</v>
      </c>
      <c r="K23" s="82">
        <f>K22/(1+'Viability comparison'!$D$6)^5</f>
        <v>0</v>
      </c>
      <c r="L23" s="82">
        <f>L22/(1+'Viability comparison'!$D$6)^6</f>
        <v>0</v>
      </c>
      <c r="M23" s="82">
        <f>M22/(1+'Viability comparison'!$D$6)^7</f>
        <v>0</v>
      </c>
      <c r="N23" s="82">
        <f>N22/(1+'Viability comparison'!$D$6)^8</f>
        <v>0</v>
      </c>
      <c r="O23" s="82">
        <f>O22/(1+'Viability comparison'!$D$6)^9</f>
        <v>0</v>
      </c>
      <c r="P23" s="82">
        <f>P22/(1+'Viability comparison'!$D$6)^10</f>
        <v>0</v>
      </c>
      <c r="Q23" s="13"/>
      <c r="S23" s="43"/>
      <c r="V23" s="7"/>
      <c r="W23" s="7">
        <v>2</v>
      </c>
      <c r="X23" s="2"/>
      <c r="Y23" s="2"/>
      <c r="Z23" s="7"/>
    </row>
    <row r="24" spans="1:26" x14ac:dyDescent="0.35">
      <c r="B24" s="14"/>
      <c r="C24" s="15"/>
      <c r="D24" s="15"/>
      <c r="E24" s="15"/>
      <c r="F24" s="15"/>
      <c r="G24" s="15"/>
      <c r="H24" s="15"/>
      <c r="I24" s="15"/>
      <c r="J24" s="15"/>
      <c r="K24" s="15"/>
      <c r="L24" s="15"/>
      <c r="M24" s="15"/>
      <c r="N24" s="15"/>
      <c r="O24" s="15"/>
      <c r="P24" s="15"/>
      <c r="Q24" s="13"/>
      <c r="S24" s="43"/>
      <c r="V24" s="7"/>
      <c r="W24" s="7">
        <v>3</v>
      </c>
      <c r="X24" s="2"/>
      <c r="Y24" s="2"/>
      <c r="Z24" s="7"/>
    </row>
    <row r="25" spans="1:26" x14ac:dyDescent="0.35">
      <c r="B25" s="54"/>
      <c r="C25" s="15" t="s">
        <v>131</v>
      </c>
      <c r="D25" s="15"/>
      <c r="E25" s="46">
        <v>0</v>
      </c>
      <c r="F25" s="15"/>
      <c r="G25" s="15"/>
      <c r="H25" s="15"/>
      <c r="I25" s="15"/>
      <c r="J25" s="15"/>
      <c r="K25" s="15"/>
      <c r="L25" s="15"/>
      <c r="M25" s="15"/>
      <c r="N25" s="15"/>
      <c r="O25" s="15"/>
      <c r="P25" s="15"/>
      <c r="Q25" s="13"/>
      <c r="S25" s="43"/>
      <c r="V25" s="7"/>
      <c r="W25" s="7">
        <v>4</v>
      </c>
      <c r="X25" s="2"/>
      <c r="Y25" s="2"/>
      <c r="Z25" s="7"/>
    </row>
    <row r="26" spans="1:26" ht="15" thickBot="1" x14ac:dyDescent="0.4">
      <c r="B26" s="16"/>
      <c r="C26" s="17"/>
      <c r="D26" s="17"/>
      <c r="E26" s="17"/>
      <c r="F26" s="17"/>
      <c r="G26" s="17"/>
      <c r="H26" s="17"/>
      <c r="I26" s="17"/>
      <c r="J26" s="17"/>
      <c r="K26" s="17"/>
      <c r="L26" s="17"/>
      <c r="M26" s="17"/>
      <c r="N26" s="17"/>
      <c r="O26" s="17"/>
      <c r="P26" s="17"/>
      <c r="Q26" s="18"/>
      <c r="S26" s="26"/>
      <c r="V26" s="7"/>
      <c r="W26" s="7">
        <v>5</v>
      </c>
      <c r="X26" s="2"/>
      <c r="Y26" s="2"/>
      <c r="Z26" s="7"/>
    </row>
    <row r="27" spans="1:26" ht="15" thickBot="1" x14ac:dyDescent="0.4">
      <c r="V27" s="7"/>
      <c r="W27" s="7" t="s">
        <v>213</v>
      </c>
      <c r="X27" s="7"/>
      <c r="Y27" s="7" t="s">
        <v>212</v>
      </c>
      <c r="Z27" s="7"/>
    </row>
    <row r="28" spans="1:26" x14ac:dyDescent="0.35">
      <c r="A28" s="55" t="b">
        <f>(B29+B33+B40)&lt;&gt;0</f>
        <v>0</v>
      </c>
      <c r="B28" s="19" t="s">
        <v>132</v>
      </c>
      <c r="C28" s="36"/>
      <c r="D28" s="20"/>
      <c r="E28" s="20"/>
      <c r="F28" s="20"/>
      <c r="G28" s="20"/>
      <c r="H28" s="20"/>
      <c r="I28" s="20"/>
      <c r="J28" s="20"/>
      <c r="K28" s="20"/>
      <c r="L28" s="20"/>
      <c r="M28" s="20"/>
      <c r="N28" s="20"/>
      <c r="O28" s="20"/>
      <c r="P28" s="20"/>
      <c r="Q28" s="21"/>
      <c r="S28" s="30"/>
      <c r="V28" s="7"/>
      <c r="W28" s="8">
        <v>6</v>
      </c>
      <c r="X28" s="2"/>
      <c r="Y28" s="2"/>
      <c r="Z28" s="7"/>
    </row>
    <row r="29" spans="1:26" x14ac:dyDescent="0.35">
      <c r="B29" s="54" t="b" cm="1">
        <f t="array" ref="B29">SUMPRODUCT(--(F30:P32&lt;&gt;""))&lt;&gt;0</f>
        <v>0</v>
      </c>
      <c r="C29" s="15" t="str">
        <f>C7</f>
        <v>Primary activies costs</v>
      </c>
      <c r="D29" s="8"/>
      <c r="E29" s="8"/>
      <c r="F29" s="8"/>
      <c r="G29" s="8"/>
      <c r="H29" s="8"/>
      <c r="I29" s="8"/>
      <c r="J29" s="8"/>
      <c r="K29" s="8"/>
      <c r="L29" s="8"/>
      <c r="M29" s="8"/>
      <c r="N29" s="8"/>
      <c r="O29" s="8"/>
      <c r="P29" s="8"/>
      <c r="Q29" s="13"/>
      <c r="S29" s="27"/>
      <c r="V29" s="7"/>
      <c r="W29" s="8">
        <v>7</v>
      </c>
      <c r="X29" s="2"/>
      <c r="Y29" s="2"/>
      <c r="Z29" s="7"/>
    </row>
    <row r="30" spans="1:26" x14ac:dyDescent="0.35">
      <c r="B30" s="14"/>
      <c r="C30" s="8"/>
      <c r="D30" s="8" t="str">
        <f>D8</f>
        <v>Consulting costs in primary activities</v>
      </c>
      <c r="E30" s="1">
        <f t="shared" ref="E30:E32" si="5">SUM(F30:P30)</f>
        <v>0</v>
      </c>
      <c r="F30" s="2"/>
      <c r="G30" s="2"/>
      <c r="H30" s="2"/>
      <c r="I30" s="2"/>
      <c r="J30" s="2"/>
      <c r="K30" s="2"/>
      <c r="L30" s="2"/>
      <c r="M30" s="2"/>
      <c r="N30" s="2"/>
      <c r="O30" s="2"/>
      <c r="P30" s="2"/>
      <c r="Q30" s="13"/>
      <c r="S30" s="27"/>
      <c r="V30" s="7"/>
      <c r="W30" s="8">
        <v>8</v>
      </c>
      <c r="X30" s="2"/>
      <c r="Y30" s="2"/>
      <c r="Z30" s="7"/>
    </row>
    <row r="31" spans="1:26" x14ac:dyDescent="0.35">
      <c r="B31" s="14"/>
      <c r="C31" s="8"/>
      <c r="D31" s="8" t="str">
        <f>D9</f>
        <v>Purchase of equipment and materials</v>
      </c>
      <c r="E31" s="1">
        <f t="shared" si="5"/>
        <v>0</v>
      </c>
      <c r="F31" s="2"/>
      <c r="G31" s="2"/>
      <c r="H31" s="2"/>
      <c r="I31" s="2"/>
      <c r="J31" s="2"/>
      <c r="K31" s="2"/>
      <c r="L31" s="2"/>
      <c r="M31" s="2"/>
      <c r="N31" s="2"/>
      <c r="O31" s="2"/>
      <c r="P31" s="2"/>
      <c r="Q31" s="13"/>
      <c r="S31" s="27"/>
      <c r="V31" s="7"/>
      <c r="W31" s="8">
        <v>9</v>
      </c>
      <c r="X31" s="2"/>
      <c r="Y31" s="2"/>
      <c r="Z31" s="7"/>
    </row>
    <row r="32" spans="1:26" x14ac:dyDescent="0.35">
      <c r="B32" s="14"/>
      <c r="C32" s="8"/>
      <c r="D32" s="8" t="str">
        <f>D10</f>
        <v>Other purchase</v>
      </c>
      <c r="E32" s="1">
        <f t="shared" si="5"/>
        <v>0</v>
      </c>
      <c r="F32" s="2"/>
      <c r="G32" s="2"/>
      <c r="H32" s="2"/>
      <c r="I32" s="2"/>
      <c r="J32" s="2"/>
      <c r="K32" s="2"/>
      <c r="L32" s="2"/>
      <c r="M32" s="2"/>
      <c r="N32" s="2"/>
      <c r="O32" s="2"/>
      <c r="P32" s="2"/>
      <c r="Q32" s="13"/>
      <c r="S32" s="27"/>
      <c r="V32" s="7"/>
      <c r="W32" s="7"/>
      <c r="X32" s="7"/>
      <c r="Y32" s="7"/>
      <c r="Z32" s="7"/>
    </row>
    <row r="33" spans="2:19" x14ac:dyDescent="0.35">
      <c r="B33" s="54" t="b" cm="1">
        <f t="array" ref="B33">SUMPRODUCT(--(F34:P39&lt;&gt;""))&lt;&gt;0</f>
        <v>0</v>
      </c>
      <c r="C33" s="15" t="str">
        <f>C11</f>
        <v>Digital and tech activities costs</v>
      </c>
      <c r="D33" s="8"/>
      <c r="E33" s="8"/>
      <c r="F33" s="8"/>
      <c r="G33" s="8"/>
      <c r="H33" s="8"/>
      <c r="I33" s="8"/>
      <c r="J33" s="8"/>
      <c r="K33" s="8"/>
      <c r="L33" s="8"/>
      <c r="M33" s="8"/>
      <c r="N33" s="8"/>
      <c r="O33" s="8"/>
      <c r="P33" s="8"/>
      <c r="Q33" s="13"/>
      <c r="S33" s="27"/>
    </row>
    <row r="34" spans="2:19" x14ac:dyDescent="0.35">
      <c r="B34" s="14"/>
      <c r="C34" s="8"/>
      <c r="D34" s="8" t="str">
        <f t="shared" ref="D34:D39" si="6">D12</f>
        <v>Cyber security</v>
      </c>
      <c r="E34" s="1">
        <f t="shared" ref="E34:E39" si="7">SUM(F34:P34)</f>
        <v>0</v>
      </c>
      <c r="F34" s="2"/>
      <c r="G34" s="2"/>
      <c r="H34" s="2"/>
      <c r="I34" s="2"/>
      <c r="J34" s="2"/>
      <c r="K34" s="2"/>
      <c r="L34" s="2"/>
      <c r="M34" s="2"/>
      <c r="N34" s="2"/>
      <c r="O34" s="2"/>
      <c r="P34" s="2"/>
      <c r="Q34" s="13"/>
      <c r="S34" s="27"/>
    </row>
    <row r="35" spans="2:19" x14ac:dyDescent="0.35">
      <c r="B35" s="14"/>
      <c r="C35" s="8"/>
      <c r="D35" s="8" t="str">
        <f t="shared" si="6"/>
        <v>Digital infrastucture (network, data center, Iaas, PaaS)</v>
      </c>
      <c r="E35" s="1">
        <f t="shared" si="7"/>
        <v>0</v>
      </c>
      <c r="F35" s="2"/>
      <c r="G35" s="2"/>
      <c r="H35" s="2"/>
      <c r="I35" s="2"/>
      <c r="J35" s="2"/>
      <c r="K35" s="2"/>
      <c r="L35" s="2"/>
      <c r="M35" s="2"/>
      <c r="N35" s="2"/>
      <c r="O35" s="2"/>
      <c r="P35" s="2"/>
      <c r="Q35" s="13"/>
      <c r="S35" s="27"/>
    </row>
    <row r="36" spans="2:19" x14ac:dyDescent="0.35">
      <c r="B36" s="14"/>
      <c r="C36" s="8"/>
      <c r="D36" s="8" t="str">
        <f t="shared" si="6"/>
        <v>Digital work environment (workstation, printing, phone)</v>
      </c>
      <c r="E36" s="1">
        <f t="shared" si="7"/>
        <v>0</v>
      </c>
      <c r="F36" s="2"/>
      <c r="G36" s="2"/>
      <c r="H36" s="2"/>
      <c r="I36" s="2"/>
      <c r="J36" s="2"/>
      <c r="K36" s="2"/>
      <c r="L36" s="2"/>
      <c r="M36" s="2"/>
      <c r="N36" s="2"/>
      <c r="O36" s="2"/>
      <c r="P36" s="2"/>
      <c r="Q36" s="13"/>
      <c r="S36" s="27"/>
    </row>
    <row r="37" spans="2:19" x14ac:dyDescent="0.35">
      <c r="B37" s="14"/>
      <c r="C37" s="8"/>
      <c r="D37" s="8" t="str">
        <f t="shared" si="6"/>
        <v>Other digital equipment</v>
      </c>
      <c r="E37" s="1">
        <f t="shared" si="7"/>
        <v>0</v>
      </c>
      <c r="F37" s="2"/>
      <c r="G37" s="2"/>
      <c r="H37" s="2"/>
      <c r="I37" s="2"/>
      <c r="J37" s="2"/>
      <c r="K37" s="2"/>
      <c r="L37" s="2"/>
      <c r="M37" s="2"/>
      <c r="N37" s="2"/>
      <c r="O37" s="2"/>
      <c r="P37" s="2"/>
      <c r="Q37" s="13"/>
      <c r="S37" s="27"/>
    </row>
    <row r="38" spans="2:19" x14ac:dyDescent="0.35">
      <c r="B38" s="14"/>
      <c r="C38" s="8"/>
      <c r="D38" s="8" t="str">
        <f t="shared" si="6"/>
        <v>Digitaaliset applications and software (information systems, developer tools)</v>
      </c>
      <c r="E38" s="1">
        <f t="shared" si="7"/>
        <v>0</v>
      </c>
      <c r="F38" s="2"/>
      <c r="G38" s="2"/>
      <c r="H38" s="2"/>
      <c r="I38" s="2"/>
      <c r="J38" s="2"/>
      <c r="K38" s="2"/>
      <c r="L38" s="2"/>
      <c r="M38" s="2"/>
      <c r="N38" s="2"/>
      <c r="O38" s="2"/>
      <c r="P38" s="2"/>
      <c r="Q38" s="13"/>
      <c r="S38" s="27"/>
    </row>
    <row r="39" spans="2:19" x14ac:dyDescent="0.35">
      <c r="B39" s="14"/>
      <c r="C39" s="8"/>
      <c r="D39" s="8" t="str">
        <f t="shared" si="6"/>
        <v>Software development (consulting, …)</v>
      </c>
      <c r="E39" s="1">
        <f t="shared" si="7"/>
        <v>0</v>
      </c>
      <c r="F39" s="2"/>
      <c r="G39" s="2"/>
      <c r="H39" s="2"/>
      <c r="I39" s="2"/>
      <c r="J39" s="2"/>
      <c r="K39" s="2"/>
      <c r="L39" s="2"/>
      <c r="M39" s="2"/>
      <c r="N39" s="2"/>
      <c r="O39" s="2"/>
      <c r="P39" s="2"/>
      <c r="Q39" s="13"/>
      <c r="S39" s="27"/>
    </row>
    <row r="40" spans="2:19" x14ac:dyDescent="0.35">
      <c r="B40" s="54" t="b" cm="1">
        <f t="array" ref="B40">SUMPRODUCT(--(F41:P43&lt;&gt;""))&lt;&gt;0</f>
        <v>0</v>
      </c>
      <c r="C40" s="15" t="str">
        <f>C18</f>
        <v>Supportive and deployment costs</v>
      </c>
      <c r="D40" s="8"/>
      <c r="E40" s="8"/>
      <c r="F40" s="8"/>
      <c r="G40" s="8"/>
      <c r="H40" s="8"/>
      <c r="I40" s="8"/>
      <c r="J40" s="8"/>
      <c r="K40" s="8"/>
      <c r="L40" s="8"/>
      <c r="M40" s="8"/>
      <c r="N40" s="8"/>
      <c r="O40" s="8"/>
      <c r="P40" s="8"/>
      <c r="Q40" s="13"/>
      <c r="S40" s="28"/>
    </row>
    <row r="41" spans="2:19" x14ac:dyDescent="0.35">
      <c r="B41" s="14"/>
      <c r="C41" s="8"/>
      <c r="D41" s="8" t="str">
        <f>D19</f>
        <v>Service desk and other similar supporting costs</v>
      </c>
      <c r="E41" s="1">
        <f t="shared" ref="E41:E43" si="8">SUM(F41:P41)</f>
        <v>0</v>
      </c>
      <c r="F41" s="2"/>
      <c r="G41" s="2"/>
      <c r="H41" s="2"/>
      <c r="I41" s="2"/>
      <c r="J41" s="2"/>
      <c r="K41" s="2"/>
      <c r="L41" s="2"/>
      <c r="M41" s="2"/>
      <c r="N41" s="2"/>
      <c r="O41" s="2"/>
      <c r="P41" s="2"/>
      <c r="Q41" s="13"/>
      <c r="S41" s="28"/>
    </row>
    <row r="42" spans="2:19" x14ac:dyDescent="0.35">
      <c r="B42" s="14"/>
      <c r="C42" s="8"/>
      <c r="D42" s="8" t="str">
        <f>D20</f>
        <v>Learning and education</v>
      </c>
      <c r="E42" s="1">
        <f t="shared" si="8"/>
        <v>0</v>
      </c>
      <c r="F42" s="2"/>
      <c r="G42" s="2"/>
      <c r="H42" s="2"/>
      <c r="I42" s="2"/>
      <c r="J42" s="2"/>
      <c r="K42" s="2"/>
      <c r="L42" s="2"/>
      <c r="M42" s="2"/>
      <c r="N42" s="2"/>
      <c r="O42" s="2"/>
      <c r="P42" s="2"/>
      <c r="Q42" s="13"/>
      <c r="S42" s="28"/>
    </row>
    <row r="43" spans="2:19" ht="15" thickBot="1" x14ac:dyDescent="0.4">
      <c r="B43" s="14"/>
      <c r="C43" s="8"/>
      <c r="D43" s="8" t="str">
        <f>D21</f>
        <v>Administrative costs (e.g. project management)</v>
      </c>
      <c r="E43" s="31">
        <f t="shared" si="8"/>
        <v>0</v>
      </c>
      <c r="F43" s="45"/>
      <c r="G43" s="45"/>
      <c r="H43" s="45"/>
      <c r="I43" s="45"/>
      <c r="J43" s="45"/>
      <c r="K43" s="45"/>
      <c r="L43" s="45"/>
      <c r="M43" s="45"/>
      <c r="N43" s="45"/>
      <c r="O43" s="45"/>
      <c r="P43" s="45"/>
      <c r="Q43" s="13"/>
      <c r="S43" s="28"/>
    </row>
    <row r="44" spans="2:19" ht="15" thickTop="1" x14ac:dyDescent="0.35">
      <c r="B44" s="14"/>
      <c r="C44" s="15" t="s">
        <v>145</v>
      </c>
      <c r="D44" s="15"/>
      <c r="E44" s="32">
        <f t="shared" ref="E44:P44" si="9">SUM(E30:E32,E34:E39,E41:E43)</f>
        <v>0</v>
      </c>
      <c r="F44" s="32">
        <f t="shared" si="9"/>
        <v>0</v>
      </c>
      <c r="G44" s="32">
        <f t="shared" si="9"/>
        <v>0</v>
      </c>
      <c r="H44" s="32">
        <f t="shared" si="9"/>
        <v>0</v>
      </c>
      <c r="I44" s="32">
        <f t="shared" si="9"/>
        <v>0</v>
      </c>
      <c r="J44" s="32">
        <f t="shared" si="9"/>
        <v>0</v>
      </c>
      <c r="K44" s="32">
        <f t="shared" si="9"/>
        <v>0</v>
      </c>
      <c r="L44" s="32">
        <f t="shared" si="9"/>
        <v>0</v>
      </c>
      <c r="M44" s="32">
        <f t="shared" si="9"/>
        <v>0</v>
      </c>
      <c r="N44" s="32">
        <f t="shared" si="9"/>
        <v>0</v>
      </c>
      <c r="O44" s="32">
        <f t="shared" si="9"/>
        <v>0</v>
      </c>
      <c r="P44" s="32">
        <f t="shared" si="9"/>
        <v>0</v>
      </c>
      <c r="Q44" s="13"/>
      <c r="S44" s="28"/>
    </row>
    <row r="45" spans="2:19" x14ac:dyDescent="0.35">
      <c r="B45" s="14"/>
      <c r="C45" s="15"/>
      <c r="D45" s="35" t="str">
        <f>D23</f>
        <v>Discounted</v>
      </c>
      <c r="E45" s="82">
        <f>SUM(F45:P45)</f>
        <v>0</v>
      </c>
      <c r="F45" s="82">
        <f>F44/(1+'Viability comparison'!$D$6)^0</f>
        <v>0</v>
      </c>
      <c r="G45" s="82">
        <f>G44/(1+'Viability comparison'!$D$6)^1</f>
        <v>0</v>
      </c>
      <c r="H45" s="82">
        <f>H44/(1+'Viability comparison'!$D$6)^2</f>
        <v>0</v>
      </c>
      <c r="I45" s="82">
        <f>I44/(1+'Viability comparison'!$D$6)^3</f>
        <v>0</v>
      </c>
      <c r="J45" s="82">
        <f>J44/(1+'Viability comparison'!$D$6)^4</f>
        <v>0</v>
      </c>
      <c r="K45" s="82">
        <f>K44/(1+'Viability comparison'!$D$6)^5</f>
        <v>0</v>
      </c>
      <c r="L45" s="82">
        <f>L44/(1+'Viability comparison'!$D$6)^6</f>
        <v>0</v>
      </c>
      <c r="M45" s="82">
        <f>M44/(1+'Viability comparison'!$D$6)^7</f>
        <v>0</v>
      </c>
      <c r="N45" s="82">
        <f>N44/(1+'Viability comparison'!$D$6)^8</f>
        <v>0</v>
      </c>
      <c r="O45" s="82">
        <f>O44/(1+'Viability comparison'!$D$6)^9</f>
        <v>0</v>
      </c>
      <c r="P45" s="82">
        <f>P44/(1+'Viability comparison'!$D$6)^10</f>
        <v>0</v>
      </c>
      <c r="Q45" s="13"/>
      <c r="S45" s="43"/>
    </row>
    <row r="46" spans="2:19" x14ac:dyDescent="0.35">
      <c r="B46" s="14"/>
      <c r="C46" s="15"/>
      <c r="D46" s="15"/>
      <c r="E46" s="15"/>
      <c r="F46" s="15"/>
      <c r="G46" s="15"/>
      <c r="H46" s="15"/>
      <c r="I46" s="15"/>
      <c r="J46" s="15"/>
      <c r="K46" s="15"/>
      <c r="L46" s="15"/>
      <c r="M46" s="15"/>
      <c r="N46" s="15"/>
      <c r="O46" s="15"/>
      <c r="P46" s="15"/>
      <c r="Q46" s="13"/>
      <c r="S46" s="43"/>
    </row>
    <row r="47" spans="2:19" x14ac:dyDescent="0.35">
      <c r="B47" s="14"/>
      <c r="C47" s="15" t="str">
        <f>C25</f>
        <v>Residual value (present value)</v>
      </c>
      <c r="D47" s="15"/>
      <c r="E47" s="44">
        <f>E25</f>
        <v>0</v>
      </c>
      <c r="F47" s="15"/>
      <c r="G47" s="15"/>
      <c r="H47" s="15"/>
      <c r="I47" s="15"/>
      <c r="J47" s="15"/>
      <c r="K47" s="15"/>
      <c r="L47" s="15"/>
      <c r="M47" s="15"/>
      <c r="N47" s="15"/>
      <c r="O47" s="15"/>
      <c r="P47" s="15"/>
      <c r="Q47" s="13"/>
      <c r="S47" s="43"/>
    </row>
    <row r="48" spans="2:19" ht="15" thickBot="1" x14ac:dyDescent="0.4">
      <c r="B48" s="16"/>
      <c r="C48" s="17"/>
      <c r="D48" s="17"/>
      <c r="E48" s="17"/>
      <c r="F48" s="17"/>
      <c r="G48" s="17"/>
      <c r="H48" s="17"/>
      <c r="I48" s="17"/>
      <c r="J48" s="17"/>
      <c r="K48" s="17"/>
      <c r="L48" s="17"/>
      <c r="M48" s="17"/>
      <c r="N48" s="17"/>
      <c r="O48" s="17"/>
      <c r="P48" s="17"/>
      <c r="Q48" s="18"/>
      <c r="S48" s="26"/>
    </row>
    <row r="49" spans="1:19" ht="15" thickBot="1" x14ac:dyDescent="0.4">
      <c r="A49" s="55" t="b">
        <f>(B51+B55+B63)&lt;&gt;0</f>
        <v>0</v>
      </c>
    </row>
    <row r="50" spans="1:19" x14ac:dyDescent="0.35">
      <c r="B50" s="19" t="s">
        <v>133</v>
      </c>
      <c r="C50" s="36"/>
      <c r="D50" s="20"/>
      <c r="E50" s="20"/>
      <c r="F50" s="20"/>
      <c r="G50" s="20"/>
      <c r="H50" s="20"/>
      <c r="I50" s="20"/>
      <c r="J50" s="20"/>
      <c r="K50" s="20"/>
      <c r="L50" s="20"/>
      <c r="M50" s="20"/>
      <c r="N50" s="20"/>
      <c r="O50" s="20"/>
      <c r="P50" s="20"/>
      <c r="Q50" s="21"/>
      <c r="S50" s="30"/>
    </row>
    <row r="51" spans="1:19" x14ac:dyDescent="0.35">
      <c r="B51" s="54" t="b" cm="1">
        <f t="array" ref="B51">SUMPRODUCT(--(F52:P54&lt;&gt;""))&lt;&gt;0</f>
        <v>0</v>
      </c>
      <c r="C51" s="15" t="s">
        <v>134</v>
      </c>
      <c r="D51" s="8"/>
      <c r="E51" s="8"/>
      <c r="F51" s="8"/>
      <c r="G51" s="8"/>
      <c r="H51" s="8"/>
      <c r="I51" s="8"/>
      <c r="J51" s="8"/>
      <c r="K51" s="8"/>
      <c r="L51" s="8"/>
      <c r="M51" s="8"/>
      <c r="N51" s="8"/>
      <c r="O51" s="8"/>
      <c r="P51" s="8"/>
      <c r="Q51" s="13"/>
      <c r="S51" s="27"/>
    </row>
    <row r="52" spans="1:19" x14ac:dyDescent="0.35">
      <c r="B52" s="14"/>
      <c r="C52" s="15"/>
      <c r="D52" s="8" t="s">
        <v>157</v>
      </c>
      <c r="E52" s="1">
        <f t="shared" ref="E52:E54" si="10">SUM(F52:P52)</f>
        <v>0</v>
      </c>
      <c r="F52" s="2"/>
      <c r="G52" s="2"/>
      <c r="H52" s="2"/>
      <c r="I52" s="2"/>
      <c r="J52" s="2"/>
      <c r="K52" s="2"/>
      <c r="L52" s="2"/>
      <c r="M52" s="2"/>
      <c r="N52" s="2"/>
      <c r="O52" s="2"/>
      <c r="P52" s="2"/>
      <c r="Q52" s="13"/>
      <c r="S52" s="27"/>
    </row>
    <row r="53" spans="1:19" x14ac:dyDescent="0.35">
      <c r="B53" s="14"/>
      <c r="C53" s="8"/>
      <c r="D53" s="8" t="s">
        <v>135</v>
      </c>
      <c r="E53" s="1">
        <f t="shared" si="10"/>
        <v>0</v>
      </c>
      <c r="F53" s="2"/>
      <c r="G53" s="2"/>
      <c r="H53" s="2"/>
      <c r="I53" s="2"/>
      <c r="J53" s="2"/>
      <c r="K53" s="2"/>
      <c r="L53" s="2"/>
      <c r="M53" s="2"/>
      <c r="N53" s="2"/>
      <c r="O53" s="2"/>
      <c r="P53" s="2"/>
      <c r="Q53" s="13"/>
      <c r="S53" s="28"/>
    </row>
    <row r="54" spans="1:19" x14ac:dyDescent="0.35">
      <c r="B54" s="14"/>
      <c r="C54" s="8"/>
      <c r="D54" s="8" t="s">
        <v>136</v>
      </c>
      <c r="E54" s="1">
        <f t="shared" si="10"/>
        <v>0</v>
      </c>
      <c r="F54" s="2"/>
      <c r="G54" s="2"/>
      <c r="H54" s="2"/>
      <c r="I54" s="2"/>
      <c r="J54" s="2"/>
      <c r="K54" s="2"/>
      <c r="L54" s="2"/>
      <c r="M54" s="2"/>
      <c r="N54" s="2"/>
      <c r="O54" s="2"/>
      <c r="P54" s="2"/>
      <c r="Q54" s="13"/>
      <c r="S54" s="28"/>
    </row>
    <row r="55" spans="1:19" x14ac:dyDescent="0.35">
      <c r="B55" s="54" t="b" cm="1">
        <f t="array" ref="B55">SUMPRODUCT(--(F56:P62&lt;&gt;""))&lt;&gt;0</f>
        <v>0</v>
      </c>
      <c r="C55" s="15" t="s">
        <v>137</v>
      </c>
      <c r="D55" s="8"/>
      <c r="E55" s="8"/>
      <c r="F55" s="8"/>
      <c r="G55" s="8"/>
      <c r="H55" s="8"/>
      <c r="I55" s="8"/>
      <c r="J55" s="8"/>
      <c r="K55" s="8"/>
      <c r="L55" s="8"/>
      <c r="M55" s="8"/>
      <c r="N55" s="8"/>
      <c r="O55" s="8"/>
      <c r="P55" s="8"/>
      <c r="Q55" s="13"/>
      <c r="S55" s="28"/>
    </row>
    <row r="56" spans="1:19" x14ac:dyDescent="0.35">
      <c r="B56" s="14"/>
      <c r="C56" s="15"/>
      <c r="D56" s="8" t="s">
        <v>158</v>
      </c>
      <c r="E56" s="1">
        <f t="shared" ref="E56:E62" si="11">SUM(F56:P56)</f>
        <v>0</v>
      </c>
      <c r="F56" s="2"/>
      <c r="G56" s="2"/>
      <c r="H56" s="2"/>
      <c r="I56" s="2"/>
      <c r="J56" s="2"/>
      <c r="K56" s="2"/>
      <c r="L56" s="2"/>
      <c r="M56" s="2"/>
      <c r="N56" s="2"/>
      <c r="O56" s="2"/>
      <c r="P56" s="2"/>
      <c r="Q56" s="13"/>
      <c r="S56" s="28"/>
    </row>
    <row r="57" spans="1:19" x14ac:dyDescent="0.35">
      <c r="B57" s="14"/>
      <c r="C57" s="8"/>
      <c r="D57" s="8" t="s">
        <v>138</v>
      </c>
      <c r="E57" s="1">
        <f t="shared" si="11"/>
        <v>0</v>
      </c>
      <c r="F57" s="2"/>
      <c r="G57" s="2"/>
      <c r="H57" s="2"/>
      <c r="I57" s="2"/>
      <c r="J57" s="2"/>
      <c r="K57" s="2"/>
      <c r="L57" s="2"/>
      <c r="M57" s="2"/>
      <c r="N57" s="2"/>
      <c r="O57" s="2"/>
      <c r="P57" s="2"/>
      <c r="Q57" s="13"/>
      <c r="S57" s="28"/>
    </row>
    <row r="58" spans="1:19" x14ac:dyDescent="0.35">
      <c r="B58" s="14"/>
      <c r="C58" s="8"/>
      <c r="D58" s="8" t="s">
        <v>139</v>
      </c>
      <c r="E58" s="1">
        <f t="shared" si="11"/>
        <v>0</v>
      </c>
      <c r="F58" s="2"/>
      <c r="G58" s="2"/>
      <c r="H58" s="2"/>
      <c r="I58" s="2"/>
      <c r="J58" s="2"/>
      <c r="K58" s="2"/>
      <c r="L58" s="2"/>
      <c r="M58" s="2"/>
      <c r="N58" s="2"/>
      <c r="O58" s="2"/>
      <c r="P58" s="2"/>
      <c r="Q58" s="13"/>
      <c r="S58" s="28"/>
    </row>
    <row r="59" spans="1:19" x14ac:dyDescent="0.35">
      <c r="B59" s="14"/>
      <c r="C59" s="8"/>
      <c r="D59" s="8" t="s">
        <v>140</v>
      </c>
      <c r="E59" s="1">
        <f t="shared" si="11"/>
        <v>0</v>
      </c>
      <c r="F59" s="2"/>
      <c r="G59" s="2"/>
      <c r="H59" s="2"/>
      <c r="I59" s="2"/>
      <c r="J59" s="2"/>
      <c r="K59" s="2"/>
      <c r="L59" s="2"/>
      <c r="M59" s="2"/>
      <c r="N59" s="2"/>
      <c r="O59" s="2"/>
      <c r="P59" s="2"/>
      <c r="Q59" s="13"/>
      <c r="S59" s="28"/>
    </row>
    <row r="60" spans="1:19" x14ac:dyDescent="0.35">
      <c r="B60" s="14"/>
      <c r="C60" s="8"/>
      <c r="D60" s="8" t="s">
        <v>141</v>
      </c>
      <c r="E60" s="1">
        <f t="shared" si="11"/>
        <v>0</v>
      </c>
      <c r="F60" s="2"/>
      <c r="G60" s="2"/>
      <c r="H60" s="2"/>
      <c r="I60" s="2"/>
      <c r="J60" s="2"/>
      <c r="K60" s="2"/>
      <c r="L60" s="2"/>
      <c r="M60" s="2"/>
      <c r="N60" s="2"/>
      <c r="O60" s="2"/>
      <c r="P60" s="2"/>
      <c r="Q60" s="13"/>
      <c r="S60" s="28"/>
    </row>
    <row r="61" spans="1:19" x14ac:dyDescent="0.35">
      <c r="B61" s="14"/>
      <c r="C61" s="8"/>
      <c r="D61" s="8" t="s">
        <v>171</v>
      </c>
      <c r="E61" s="1">
        <f t="shared" si="11"/>
        <v>0</v>
      </c>
      <c r="F61" s="2"/>
      <c r="G61" s="2"/>
      <c r="H61" s="2"/>
      <c r="I61" s="2"/>
      <c r="J61" s="2"/>
      <c r="K61" s="2"/>
      <c r="L61" s="2"/>
      <c r="M61" s="2"/>
      <c r="N61" s="2"/>
      <c r="O61" s="2"/>
      <c r="P61" s="2"/>
      <c r="Q61" s="13"/>
      <c r="S61" s="28"/>
    </row>
    <row r="62" spans="1:19" x14ac:dyDescent="0.35">
      <c r="B62" s="14"/>
      <c r="C62" s="8"/>
      <c r="D62" s="8" t="s">
        <v>142</v>
      </c>
      <c r="E62" s="1">
        <f t="shared" si="11"/>
        <v>0</v>
      </c>
      <c r="F62" s="2"/>
      <c r="G62" s="2"/>
      <c r="H62" s="2"/>
      <c r="I62" s="2"/>
      <c r="J62" s="2"/>
      <c r="K62" s="2"/>
      <c r="L62" s="2"/>
      <c r="M62" s="2"/>
      <c r="N62" s="2"/>
      <c r="O62" s="2"/>
      <c r="P62" s="2"/>
      <c r="Q62" s="13"/>
      <c r="S62" s="28"/>
    </row>
    <row r="63" spans="1:19" x14ac:dyDescent="0.35">
      <c r="B63" s="54" t="b" cm="1">
        <f t="array" ref="B63">SUMPRODUCT(--(F64:P66&lt;&gt;""))&lt;&gt;0</f>
        <v>0</v>
      </c>
      <c r="C63" s="15" t="s">
        <v>143</v>
      </c>
      <c r="D63" s="8"/>
      <c r="E63" s="8"/>
      <c r="F63" s="8"/>
      <c r="G63" s="8"/>
      <c r="H63" s="8"/>
      <c r="I63" s="8"/>
      <c r="J63" s="8"/>
      <c r="K63" s="8"/>
      <c r="L63" s="8"/>
      <c r="M63" s="8"/>
      <c r="N63" s="8"/>
      <c r="O63" s="8"/>
      <c r="P63" s="8"/>
      <c r="Q63" s="13"/>
      <c r="S63" s="28"/>
    </row>
    <row r="64" spans="1:19" x14ac:dyDescent="0.35">
      <c r="B64" s="14"/>
      <c r="C64" s="8"/>
      <c r="D64" s="8" t="s">
        <v>126</v>
      </c>
      <c r="E64" s="1">
        <f t="shared" ref="E64:E66" si="12">SUM(F64:P64)</f>
        <v>0</v>
      </c>
      <c r="F64" s="2"/>
      <c r="G64" s="2"/>
      <c r="H64" s="2"/>
      <c r="I64" s="2"/>
      <c r="J64" s="2"/>
      <c r="K64" s="2"/>
      <c r="L64" s="2"/>
      <c r="M64" s="2"/>
      <c r="N64" s="2"/>
      <c r="O64" s="2"/>
      <c r="P64" s="2"/>
      <c r="Q64" s="13"/>
      <c r="S64" s="28"/>
    </row>
    <row r="65" spans="1:19" x14ac:dyDescent="0.35">
      <c r="B65" s="14"/>
      <c r="C65" s="8"/>
      <c r="D65" s="8" t="s">
        <v>127</v>
      </c>
      <c r="E65" s="1">
        <f t="shared" si="12"/>
        <v>0</v>
      </c>
      <c r="F65" s="2"/>
      <c r="G65" s="2"/>
      <c r="H65" s="2"/>
      <c r="I65" s="2"/>
      <c r="J65" s="2"/>
      <c r="K65" s="2"/>
      <c r="L65" s="2"/>
      <c r="M65" s="2"/>
      <c r="N65" s="2"/>
      <c r="O65" s="2"/>
      <c r="P65" s="2"/>
      <c r="Q65" s="13"/>
      <c r="S65" s="28"/>
    </row>
    <row r="66" spans="1:19" ht="15" thickBot="1" x14ac:dyDescent="0.4">
      <c r="B66" s="14"/>
      <c r="C66" s="8"/>
      <c r="D66" s="8" t="s">
        <v>156</v>
      </c>
      <c r="E66" s="31">
        <f t="shared" si="12"/>
        <v>0</v>
      </c>
      <c r="F66" s="45"/>
      <c r="G66" s="45"/>
      <c r="H66" s="45"/>
      <c r="I66" s="45"/>
      <c r="J66" s="45"/>
      <c r="K66" s="45"/>
      <c r="L66" s="45"/>
      <c r="M66" s="45"/>
      <c r="N66" s="45"/>
      <c r="O66" s="45"/>
      <c r="P66" s="45"/>
      <c r="Q66" s="13"/>
      <c r="S66" s="28"/>
    </row>
    <row r="67" spans="1:19" ht="15" thickTop="1" x14ac:dyDescent="0.35">
      <c r="B67" s="14"/>
      <c r="C67" s="15" t="s">
        <v>144</v>
      </c>
      <c r="D67" s="15"/>
      <c r="E67" s="83">
        <f t="shared" ref="E67:P67" si="13">SUM(E52:E54,E56:E62,E64:E66)</f>
        <v>0</v>
      </c>
      <c r="F67" s="83">
        <f t="shared" si="13"/>
        <v>0</v>
      </c>
      <c r="G67" s="83">
        <f t="shared" si="13"/>
        <v>0</v>
      </c>
      <c r="H67" s="83">
        <f t="shared" si="13"/>
        <v>0</v>
      </c>
      <c r="I67" s="83">
        <f t="shared" si="13"/>
        <v>0</v>
      </c>
      <c r="J67" s="83">
        <f t="shared" si="13"/>
        <v>0</v>
      </c>
      <c r="K67" s="83">
        <f t="shared" si="13"/>
        <v>0</v>
      </c>
      <c r="L67" s="83">
        <f t="shared" si="13"/>
        <v>0</v>
      </c>
      <c r="M67" s="83">
        <f t="shared" si="13"/>
        <v>0</v>
      </c>
      <c r="N67" s="83">
        <f t="shared" si="13"/>
        <v>0</v>
      </c>
      <c r="O67" s="83">
        <f t="shared" si="13"/>
        <v>0</v>
      </c>
      <c r="P67" s="83">
        <f t="shared" si="13"/>
        <v>0</v>
      </c>
      <c r="Q67" s="13"/>
      <c r="S67" s="28"/>
    </row>
    <row r="68" spans="1:19" x14ac:dyDescent="0.35">
      <c r="B68" s="14"/>
      <c r="C68" s="8"/>
      <c r="D68" s="35" t="s">
        <v>1</v>
      </c>
      <c r="E68" s="82">
        <f>SUM(F68:P68)</f>
        <v>0</v>
      </c>
      <c r="F68" s="82">
        <f>F67/(1+'Viability comparison'!$D$6)^0</f>
        <v>0</v>
      </c>
      <c r="G68" s="82">
        <f>G67/(1+'Viability comparison'!$D$6)^1</f>
        <v>0</v>
      </c>
      <c r="H68" s="82">
        <f>H67/(1+'Viability comparison'!$D$6)^2</f>
        <v>0</v>
      </c>
      <c r="I68" s="82">
        <f>I67/(1+'Viability comparison'!$D$6)^3</f>
        <v>0</v>
      </c>
      <c r="J68" s="82">
        <f>J67/(1+'Viability comparison'!$D$6)^4</f>
        <v>0</v>
      </c>
      <c r="K68" s="82">
        <f>K67/(1+'Viability comparison'!$D$6)^5</f>
        <v>0</v>
      </c>
      <c r="L68" s="82">
        <f>L67/(1+'Viability comparison'!$D$6)^6</f>
        <v>0</v>
      </c>
      <c r="M68" s="82">
        <f>M67/(1+'Viability comparison'!$D$6)^7</f>
        <v>0</v>
      </c>
      <c r="N68" s="82">
        <f>N67/(1+'Viability comparison'!$D$6)^8</f>
        <v>0</v>
      </c>
      <c r="O68" s="82">
        <f>O67/(1+'Viability comparison'!$D$6)^9</f>
        <v>0</v>
      </c>
      <c r="P68" s="82">
        <f>P67/(1+'Viability comparison'!$D$6)^10</f>
        <v>0</v>
      </c>
      <c r="Q68" s="13"/>
      <c r="S68" s="43"/>
    </row>
    <row r="69" spans="1:19" x14ac:dyDescent="0.35">
      <c r="B69" s="14"/>
      <c r="C69" s="8"/>
      <c r="D69" s="35" t="s">
        <v>2</v>
      </c>
      <c r="E69" s="82">
        <f>SUM(F69:P69)</f>
        <v>0</v>
      </c>
      <c r="F69" s="82">
        <f>F67 / (1+'Viability comparison'!$D$18)^0</f>
        <v>0</v>
      </c>
      <c r="G69" s="82">
        <f>G67 / (1+'Viability comparison'!$D$18)^1</f>
        <v>0</v>
      </c>
      <c r="H69" s="82">
        <f>H67 / (1+'Viability comparison'!$D$18)^2</f>
        <v>0</v>
      </c>
      <c r="I69" s="82">
        <f>I67 / (1+'Viability comparison'!$D$18)^3</f>
        <v>0</v>
      </c>
      <c r="J69" s="82">
        <f>J67 / (1+'Viability comparison'!$D$18)^4</f>
        <v>0</v>
      </c>
      <c r="K69" s="82">
        <f>K67 / (1+'Viability comparison'!$D$18)^5</f>
        <v>0</v>
      </c>
      <c r="L69" s="82">
        <f>L67 / (1+'Viability comparison'!$D$18)^6</f>
        <v>0</v>
      </c>
      <c r="M69" s="82">
        <f>M67 / (1+'Viability comparison'!$D$18)^7</f>
        <v>0</v>
      </c>
      <c r="N69" s="82">
        <f>N67 / (1+'Viability comparison'!$D$18)^8</f>
        <v>0</v>
      </c>
      <c r="O69" s="82">
        <f>O67 / (1+'Viability comparison'!$D$18)^9</f>
        <v>0</v>
      </c>
      <c r="P69" s="82">
        <f>P67 / (1+'Viability comparison'!$D$18)^10</f>
        <v>0</v>
      </c>
      <c r="Q69" s="13"/>
      <c r="S69" s="43"/>
    </row>
    <row r="70" spans="1:19" ht="15" thickBot="1" x14ac:dyDescent="0.4">
      <c r="B70" s="16"/>
      <c r="C70" s="17"/>
      <c r="D70" s="17"/>
      <c r="E70" s="17"/>
      <c r="F70" s="17"/>
      <c r="G70" s="17"/>
      <c r="H70" s="17"/>
      <c r="I70" s="17"/>
      <c r="J70" s="17"/>
      <c r="K70" s="17"/>
      <c r="L70" s="17"/>
      <c r="M70" s="17"/>
      <c r="N70" s="17"/>
      <c r="O70" s="17"/>
      <c r="P70" s="17"/>
      <c r="Q70" s="18"/>
      <c r="S70" s="26"/>
    </row>
    <row r="71" spans="1:19" ht="15" thickBot="1" x14ac:dyDescent="0.4"/>
    <row r="72" spans="1:19" ht="15" thickBot="1" x14ac:dyDescent="0.4">
      <c r="B72" s="22" t="s">
        <v>146</v>
      </c>
      <c r="C72" s="33"/>
      <c r="D72" s="23"/>
      <c r="E72" s="33">
        <f t="shared" ref="E72:P72" si="14">SUM(E22,E67)</f>
        <v>0</v>
      </c>
      <c r="F72" s="33">
        <f t="shared" si="14"/>
        <v>0</v>
      </c>
      <c r="G72" s="33">
        <f t="shared" si="14"/>
        <v>0</v>
      </c>
      <c r="H72" s="33">
        <f t="shared" si="14"/>
        <v>0</v>
      </c>
      <c r="I72" s="33">
        <f t="shared" si="14"/>
        <v>0</v>
      </c>
      <c r="J72" s="33">
        <f t="shared" si="14"/>
        <v>0</v>
      </c>
      <c r="K72" s="33">
        <f t="shared" si="14"/>
        <v>0</v>
      </c>
      <c r="L72" s="33">
        <f t="shared" si="14"/>
        <v>0</v>
      </c>
      <c r="M72" s="33">
        <f t="shared" si="14"/>
        <v>0</v>
      </c>
      <c r="N72" s="33">
        <f t="shared" si="14"/>
        <v>0</v>
      </c>
      <c r="O72" s="33">
        <f t="shared" si="14"/>
        <v>0</v>
      </c>
      <c r="P72" s="33">
        <f t="shared" si="14"/>
        <v>0</v>
      </c>
      <c r="Q72" s="24"/>
    </row>
    <row r="73" spans="1:19" ht="15" thickBot="1" x14ac:dyDescent="0.4">
      <c r="B73" s="22" t="s">
        <v>147</v>
      </c>
      <c r="C73" s="33"/>
      <c r="D73" s="23"/>
      <c r="E73" s="33">
        <f t="shared" ref="E73:P73" si="15">SUM(E44,E70)</f>
        <v>0</v>
      </c>
      <c r="F73" s="33">
        <f t="shared" si="15"/>
        <v>0</v>
      </c>
      <c r="G73" s="33">
        <f t="shared" si="15"/>
        <v>0</v>
      </c>
      <c r="H73" s="33">
        <f t="shared" si="15"/>
        <v>0</v>
      </c>
      <c r="I73" s="33">
        <f t="shared" si="15"/>
        <v>0</v>
      </c>
      <c r="J73" s="33">
        <f t="shared" si="15"/>
        <v>0</v>
      </c>
      <c r="K73" s="33">
        <f t="shared" si="15"/>
        <v>0</v>
      </c>
      <c r="L73" s="33">
        <f t="shared" si="15"/>
        <v>0</v>
      </c>
      <c r="M73" s="33">
        <f t="shared" si="15"/>
        <v>0</v>
      </c>
      <c r="N73" s="33">
        <f t="shared" si="15"/>
        <v>0</v>
      </c>
      <c r="O73" s="33">
        <f t="shared" si="15"/>
        <v>0</v>
      </c>
      <c r="P73" s="33">
        <f t="shared" si="15"/>
        <v>0</v>
      </c>
      <c r="Q73" s="24"/>
    </row>
    <row r="74" spans="1:19" ht="15" thickBot="1" x14ac:dyDescent="0.4">
      <c r="A74" s="55" t="b">
        <f>(B76+B81+B85+B89+B97+B101)&lt;&gt;0</f>
        <v>0</v>
      </c>
    </row>
    <row r="75" spans="1:19" x14ac:dyDescent="0.35">
      <c r="B75" s="19" t="s">
        <v>148</v>
      </c>
      <c r="C75" s="36"/>
      <c r="D75" s="20"/>
      <c r="E75" s="20"/>
      <c r="F75" s="20"/>
      <c r="G75" s="20"/>
      <c r="H75" s="20"/>
      <c r="I75" s="20"/>
      <c r="J75" s="20"/>
      <c r="K75" s="20"/>
      <c r="L75" s="20"/>
      <c r="M75" s="20"/>
      <c r="N75" s="20"/>
      <c r="O75" s="20"/>
      <c r="P75" s="20"/>
      <c r="Q75" s="21"/>
      <c r="S75" s="30"/>
    </row>
    <row r="76" spans="1:19" x14ac:dyDescent="0.35">
      <c r="B76" s="54" t="b" cm="1">
        <f t="array" ref="B76">SUMPRODUCT(--(F77:P80&lt;&gt;""))&lt;&gt;0</f>
        <v>0</v>
      </c>
      <c r="C76" s="15" t="s">
        <v>149</v>
      </c>
      <c r="D76" s="8"/>
      <c r="E76" s="8"/>
      <c r="F76" s="8"/>
      <c r="G76" s="8"/>
      <c r="H76" s="8"/>
      <c r="I76" s="8"/>
      <c r="J76" s="8"/>
      <c r="K76" s="8"/>
      <c r="L76" s="8"/>
      <c r="M76" s="8"/>
      <c r="N76" s="8"/>
      <c r="O76" s="8"/>
      <c r="P76" s="8"/>
      <c r="Q76" s="13"/>
      <c r="S76" s="27"/>
    </row>
    <row r="77" spans="1:19" x14ac:dyDescent="0.35">
      <c r="B77" s="14"/>
      <c r="C77" s="8"/>
      <c r="D77" s="8" t="s">
        <v>150</v>
      </c>
      <c r="E77" s="1">
        <f t="shared" ref="E77:E80" si="16">SUM(F77:P77)</f>
        <v>0</v>
      </c>
      <c r="F77" s="2"/>
      <c r="G77" s="2"/>
      <c r="H77" s="2"/>
      <c r="I77" s="2"/>
      <c r="J77" s="2"/>
      <c r="K77" s="2"/>
      <c r="L77" s="2"/>
      <c r="M77" s="2"/>
      <c r="N77" s="2"/>
      <c r="O77" s="2"/>
      <c r="P77" s="2"/>
      <c r="Q77" s="13"/>
      <c r="S77" s="28"/>
    </row>
    <row r="78" spans="1:19" x14ac:dyDescent="0.35">
      <c r="B78" s="14"/>
      <c r="C78" s="8"/>
      <c r="D78" s="8" t="s">
        <v>151</v>
      </c>
      <c r="E78" s="1">
        <f>SUM(F78:P78)</f>
        <v>0</v>
      </c>
      <c r="F78" s="2"/>
      <c r="G78" s="2"/>
      <c r="H78" s="2"/>
      <c r="I78" s="2"/>
      <c r="J78" s="2"/>
      <c r="K78" s="2"/>
      <c r="L78" s="2"/>
      <c r="M78" s="2"/>
      <c r="N78" s="2"/>
      <c r="O78" s="2"/>
      <c r="P78" s="2"/>
      <c r="Q78" s="13"/>
      <c r="S78" s="28"/>
    </row>
    <row r="79" spans="1:19" x14ac:dyDescent="0.35">
      <c r="B79" s="14"/>
      <c r="C79" s="8"/>
      <c r="D79" s="8" t="s">
        <v>153</v>
      </c>
      <c r="E79" s="1">
        <f t="shared" si="16"/>
        <v>0</v>
      </c>
      <c r="F79" s="2"/>
      <c r="G79" s="2"/>
      <c r="H79" s="2"/>
      <c r="I79" s="2"/>
      <c r="J79" s="2"/>
      <c r="K79" s="2"/>
      <c r="L79" s="2"/>
      <c r="M79" s="2"/>
      <c r="N79" s="2"/>
      <c r="O79" s="2"/>
      <c r="P79" s="2"/>
      <c r="Q79" s="13"/>
      <c r="S79" s="28"/>
    </row>
    <row r="80" spans="1:19" x14ac:dyDescent="0.35">
      <c r="B80" s="14"/>
      <c r="C80" s="8"/>
      <c r="D80" s="8" t="s">
        <v>152</v>
      </c>
      <c r="E80" s="1">
        <f t="shared" si="16"/>
        <v>0</v>
      </c>
      <c r="F80" s="2"/>
      <c r="G80" s="2"/>
      <c r="H80" s="2"/>
      <c r="I80" s="2"/>
      <c r="J80" s="2"/>
      <c r="K80" s="2"/>
      <c r="L80" s="2"/>
      <c r="M80" s="2"/>
      <c r="N80" s="2"/>
      <c r="O80" s="2"/>
      <c r="P80" s="2"/>
      <c r="Q80" s="13"/>
      <c r="S80" s="28"/>
    </row>
    <row r="81" spans="2:19" x14ac:dyDescent="0.35">
      <c r="B81" s="54" t="b" cm="1">
        <f t="array" ref="B81">SUMPRODUCT(--(F82:P84&lt;&gt;""))&lt;&gt;0</f>
        <v>0</v>
      </c>
      <c r="C81" s="15" t="s">
        <v>154</v>
      </c>
      <c r="D81" s="8"/>
      <c r="E81" s="8"/>
      <c r="F81" s="8"/>
      <c r="G81" s="8"/>
      <c r="H81" s="8"/>
      <c r="I81" s="8"/>
      <c r="J81" s="8"/>
      <c r="K81" s="8"/>
      <c r="L81" s="8"/>
      <c r="M81" s="8"/>
      <c r="N81" s="8"/>
      <c r="O81" s="8"/>
      <c r="P81" s="8"/>
      <c r="Q81" s="13"/>
      <c r="S81" s="28"/>
    </row>
    <row r="82" spans="2:19" x14ac:dyDescent="0.35">
      <c r="B82" s="14"/>
      <c r="C82" s="8"/>
      <c r="D82" s="8" t="s">
        <v>155</v>
      </c>
      <c r="E82" s="1">
        <f t="shared" ref="E82:E84" si="17">SUM(F82:P82)</f>
        <v>0</v>
      </c>
      <c r="F82" s="2"/>
      <c r="G82" s="2"/>
      <c r="H82" s="2"/>
      <c r="I82" s="2"/>
      <c r="J82" s="2"/>
      <c r="K82" s="2"/>
      <c r="L82" s="2"/>
      <c r="M82" s="2"/>
      <c r="N82" s="2"/>
      <c r="O82" s="2"/>
      <c r="P82" s="2"/>
      <c r="Q82" s="13"/>
      <c r="S82" s="28"/>
    </row>
    <row r="83" spans="2:19" x14ac:dyDescent="0.35">
      <c r="B83" s="14"/>
      <c r="C83" s="8"/>
      <c r="D83" s="8" t="s">
        <v>159</v>
      </c>
      <c r="E83" s="1">
        <f t="shared" si="17"/>
        <v>0</v>
      </c>
      <c r="F83" s="2"/>
      <c r="G83" s="2"/>
      <c r="H83" s="2"/>
      <c r="I83" s="2"/>
      <c r="J83" s="2"/>
      <c r="K83" s="2"/>
      <c r="L83" s="2"/>
      <c r="M83" s="2"/>
      <c r="N83" s="2"/>
      <c r="O83" s="2"/>
      <c r="P83" s="2"/>
      <c r="Q83" s="13"/>
      <c r="S83" s="28"/>
    </row>
    <row r="84" spans="2:19" x14ac:dyDescent="0.35">
      <c r="B84" s="14"/>
      <c r="C84" s="8"/>
      <c r="D84" s="8" t="s">
        <v>160</v>
      </c>
      <c r="E84" s="1">
        <f t="shared" si="17"/>
        <v>0</v>
      </c>
      <c r="F84" s="2"/>
      <c r="G84" s="2"/>
      <c r="H84" s="2"/>
      <c r="I84" s="2"/>
      <c r="J84" s="2"/>
      <c r="K84" s="2"/>
      <c r="L84" s="2"/>
      <c r="M84" s="2"/>
      <c r="N84" s="2"/>
      <c r="O84" s="2"/>
      <c r="P84" s="2"/>
      <c r="Q84" s="13"/>
      <c r="S84" s="28"/>
    </row>
    <row r="85" spans="2:19" x14ac:dyDescent="0.35">
      <c r="B85" s="54" t="b" cm="1">
        <f t="array" ref="B85">SUMPRODUCT(--(F86:P88&lt;&gt;""))&lt;&gt;0</f>
        <v>0</v>
      </c>
      <c r="C85" s="15" t="s">
        <v>161</v>
      </c>
      <c r="D85" s="8"/>
      <c r="E85" s="8"/>
      <c r="F85" s="8"/>
      <c r="G85" s="8"/>
      <c r="H85" s="8"/>
      <c r="I85" s="8"/>
      <c r="J85" s="8"/>
      <c r="K85" s="8"/>
      <c r="L85" s="8"/>
      <c r="M85" s="8"/>
      <c r="N85" s="8"/>
      <c r="O85" s="8"/>
      <c r="P85" s="8"/>
      <c r="Q85" s="13"/>
      <c r="S85" s="28"/>
    </row>
    <row r="86" spans="2:19" x14ac:dyDescent="0.35">
      <c r="B86" s="14"/>
      <c r="C86" s="8"/>
      <c r="D86" s="8" t="s">
        <v>162</v>
      </c>
      <c r="E86" s="1">
        <f t="shared" ref="E86:E88" si="18">SUM(F86:P86)</f>
        <v>0</v>
      </c>
      <c r="F86" s="2"/>
      <c r="G86" s="2"/>
      <c r="H86" s="2"/>
      <c r="I86" s="2"/>
      <c r="J86" s="2"/>
      <c r="K86" s="2"/>
      <c r="L86" s="2"/>
      <c r="M86" s="2"/>
      <c r="N86" s="2"/>
      <c r="O86" s="2"/>
      <c r="P86" s="2"/>
      <c r="Q86" s="13"/>
      <c r="S86" s="28"/>
    </row>
    <row r="87" spans="2:19" x14ac:dyDescent="0.35">
      <c r="B87" s="14"/>
      <c r="C87" s="8"/>
      <c r="D87" s="8" t="s">
        <v>163</v>
      </c>
      <c r="E87" s="1">
        <f t="shared" si="18"/>
        <v>0</v>
      </c>
      <c r="F87" s="2"/>
      <c r="G87" s="2"/>
      <c r="H87" s="2"/>
      <c r="I87" s="2"/>
      <c r="J87" s="2"/>
      <c r="K87" s="2"/>
      <c r="L87" s="2"/>
      <c r="M87" s="2"/>
      <c r="N87" s="2"/>
      <c r="O87" s="2"/>
      <c r="P87" s="2"/>
      <c r="Q87" s="13"/>
      <c r="S87" s="28"/>
    </row>
    <row r="88" spans="2:19" x14ac:dyDescent="0.35">
      <c r="B88" s="14"/>
      <c r="C88" s="8"/>
      <c r="D88" s="8" t="s">
        <v>164</v>
      </c>
      <c r="E88" s="1">
        <f t="shared" si="18"/>
        <v>0</v>
      </c>
      <c r="F88" s="2"/>
      <c r="G88" s="2"/>
      <c r="H88" s="2"/>
      <c r="I88" s="2"/>
      <c r="J88" s="2"/>
      <c r="K88" s="2"/>
      <c r="L88" s="2"/>
      <c r="M88" s="2"/>
      <c r="N88" s="2"/>
      <c r="O88" s="2"/>
      <c r="P88" s="2"/>
      <c r="Q88" s="13"/>
      <c r="S88" s="28"/>
    </row>
    <row r="89" spans="2:19" x14ac:dyDescent="0.35">
      <c r="B89" s="54" t="b" cm="1">
        <f t="array" ref="B89">SUMPRODUCT(--(F90:P96&lt;&gt;""))&lt;&gt;0</f>
        <v>0</v>
      </c>
      <c r="C89" s="15" t="s">
        <v>165</v>
      </c>
      <c r="D89" s="8"/>
      <c r="E89" s="8"/>
      <c r="F89" s="8"/>
      <c r="G89" s="8"/>
      <c r="H89" s="8"/>
      <c r="I89" s="8"/>
      <c r="J89" s="8"/>
      <c r="K89" s="8"/>
      <c r="L89" s="8"/>
      <c r="M89" s="8"/>
      <c r="N89" s="8"/>
      <c r="O89" s="8"/>
      <c r="P89" s="8"/>
      <c r="Q89" s="13"/>
      <c r="S89" s="28"/>
    </row>
    <row r="90" spans="2:19" x14ac:dyDescent="0.35">
      <c r="B90" s="14"/>
      <c r="C90" s="15"/>
      <c r="D90" s="8" t="s">
        <v>166</v>
      </c>
      <c r="E90" s="1">
        <f t="shared" ref="E90:E96" si="19">SUM(F90:P90)</f>
        <v>0</v>
      </c>
      <c r="F90" s="2"/>
      <c r="G90" s="2"/>
      <c r="H90" s="2"/>
      <c r="I90" s="2"/>
      <c r="J90" s="2"/>
      <c r="K90" s="2"/>
      <c r="L90" s="2"/>
      <c r="M90" s="2"/>
      <c r="N90" s="2"/>
      <c r="O90" s="2"/>
      <c r="P90" s="2"/>
      <c r="Q90" s="13"/>
      <c r="S90" s="28"/>
    </row>
    <row r="91" spans="2:19" x14ac:dyDescent="0.35">
      <c r="B91" s="14"/>
      <c r="C91" s="15"/>
      <c r="D91" s="8" t="s">
        <v>167</v>
      </c>
      <c r="E91" s="1">
        <f t="shared" si="19"/>
        <v>0</v>
      </c>
      <c r="F91" s="2"/>
      <c r="G91" s="2"/>
      <c r="H91" s="2"/>
      <c r="I91" s="2"/>
      <c r="J91" s="2"/>
      <c r="K91" s="2"/>
      <c r="L91" s="2"/>
      <c r="M91" s="2"/>
      <c r="N91" s="2"/>
      <c r="O91" s="2"/>
      <c r="P91" s="2"/>
      <c r="Q91" s="13"/>
      <c r="S91" s="28"/>
    </row>
    <row r="92" spans="2:19" x14ac:dyDescent="0.35">
      <c r="B92" s="14"/>
      <c r="C92" s="15"/>
      <c r="D92" s="8" t="s">
        <v>168</v>
      </c>
      <c r="E92" s="1">
        <f t="shared" si="19"/>
        <v>0</v>
      </c>
      <c r="F92" s="2"/>
      <c r="G92" s="2"/>
      <c r="H92" s="2"/>
      <c r="I92" s="2"/>
      <c r="J92" s="2"/>
      <c r="K92" s="2"/>
      <c r="L92" s="2"/>
      <c r="M92" s="2"/>
      <c r="N92" s="2"/>
      <c r="O92" s="2"/>
      <c r="P92" s="2"/>
      <c r="Q92" s="13"/>
      <c r="S92" s="28"/>
    </row>
    <row r="93" spans="2:19" x14ac:dyDescent="0.35">
      <c r="B93" s="14"/>
      <c r="C93" s="15"/>
      <c r="D93" s="8" t="s">
        <v>170</v>
      </c>
      <c r="E93" s="1">
        <f t="shared" si="19"/>
        <v>0</v>
      </c>
      <c r="F93" s="2"/>
      <c r="G93" s="2"/>
      <c r="H93" s="2"/>
      <c r="I93" s="2"/>
      <c r="J93" s="2"/>
      <c r="K93" s="2"/>
      <c r="L93" s="2"/>
      <c r="M93" s="2"/>
      <c r="N93" s="2"/>
      <c r="O93" s="2"/>
      <c r="P93" s="2"/>
      <c r="Q93" s="13"/>
      <c r="S93" s="28"/>
    </row>
    <row r="94" spans="2:19" x14ac:dyDescent="0.35">
      <c r="B94" s="14"/>
      <c r="C94" s="8"/>
      <c r="D94" s="8" t="s">
        <v>173</v>
      </c>
      <c r="E94" s="1">
        <f t="shared" si="19"/>
        <v>0</v>
      </c>
      <c r="F94" s="2"/>
      <c r="G94" s="2"/>
      <c r="H94" s="2"/>
      <c r="I94" s="2"/>
      <c r="J94" s="2"/>
      <c r="K94" s="2"/>
      <c r="L94" s="2"/>
      <c r="M94" s="2"/>
      <c r="N94" s="2"/>
      <c r="O94" s="2"/>
      <c r="P94" s="2"/>
      <c r="Q94" s="13"/>
      <c r="S94" s="28"/>
    </row>
    <row r="95" spans="2:19" x14ac:dyDescent="0.35">
      <c r="B95" s="14"/>
      <c r="C95" s="8"/>
      <c r="D95" s="8"/>
      <c r="E95" s="1">
        <f t="shared" si="19"/>
        <v>0</v>
      </c>
      <c r="F95" s="2"/>
      <c r="G95" s="2"/>
      <c r="H95" s="2"/>
      <c r="I95" s="2"/>
      <c r="J95" s="2"/>
      <c r="K95" s="2"/>
      <c r="L95" s="2"/>
      <c r="M95" s="2"/>
      <c r="N95" s="2"/>
      <c r="O95" s="2"/>
      <c r="P95" s="2"/>
      <c r="Q95" s="13"/>
      <c r="S95" s="28"/>
    </row>
    <row r="96" spans="2:19" x14ac:dyDescent="0.35">
      <c r="B96" s="14"/>
      <c r="C96" s="8"/>
      <c r="D96" s="8" t="s">
        <v>172</v>
      </c>
      <c r="E96" s="1">
        <f t="shared" si="19"/>
        <v>0</v>
      </c>
      <c r="F96" s="2"/>
      <c r="G96" s="2"/>
      <c r="H96" s="2"/>
      <c r="I96" s="2"/>
      <c r="J96" s="2"/>
      <c r="K96" s="2"/>
      <c r="L96" s="2"/>
      <c r="M96" s="2"/>
      <c r="N96" s="2"/>
      <c r="O96" s="2"/>
      <c r="P96" s="2"/>
      <c r="Q96" s="13"/>
      <c r="S96" s="28"/>
    </row>
    <row r="97" spans="1:19" x14ac:dyDescent="0.35">
      <c r="B97" s="54" t="b" cm="1">
        <f t="array" ref="B97">SUMPRODUCT(--(F98:P100&lt;&gt;""))&lt;&gt;0</f>
        <v>0</v>
      </c>
      <c r="C97" s="15" t="s">
        <v>174</v>
      </c>
      <c r="D97" s="8"/>
      <c r="E97" s="8"/>
      <c r="F97" s="8"/>
      <c r="G97" s="8"/>
      <c r="H97" s="8"/>
      <c r="I97" s="8"/>
      <c r="J97" s="8"/>
      <c r="K97" s="8"/>
      <c r="L97" s="8"/>
      <c r="M97" s="8"/>
      <c r="N97" s="8"/>
      <c r="O97" s="8"/>
      <c r="P97" s="8"/>
      <c r="Q97" s="13"/>
      <c r="S97" s="28"/>
    </row>
    <row r="98" spans="1:19" x14ac:dyDescent="0.35">
      <c r="B98" s="14"/>
      <c r="C98" s="15"/>
      <c r="D98" s="8" t="s">
        <v>175</v>
      </c>
      <c r="E98" s="1">
        <f t="shared" ref="E98:E100" si="20">SUM(F98:P98)</f>
        <v>0</v>
      </c>
      <c r="F98" s="2"/>
      <c r="G98" s="2"/>
      <c r="H98" s="2"/>
      <c r="I98" s="2"/>
      <c r="J98" s="2"/>
      <c r="K98" s="2"/>
      <c r="L98" s="2"/>
      <c r="M98" s="2"/>
      <c r="N98" s="2"/>
      <c r="O98" s="2"/>
      <c r="P98" s="2"/>
      <c r="Q98" s="13"/>
      <c r="S98" s="28"/>
    </row>
    <row r="99" spans="1:19" x14ac:dyDescent="0.35">
      <c r="B99" s="14"/>
      <c r="C99" s="15"/>
      <c r="D99" s="8" t="s">
        <v>176</v>
      </c>
      <c r="E99" s="1">
        <f t="shared" si="20"/>
        <v>0</v>
      </c>
      <c r="F99" s="2"/>
      <c r="G99" s="2"/>
      <c r="H99" s="2"/>
      <c r="I99" s="2"/>
      <c r="J99" s="2"/>
      <c r="K99" s="2"/>
      <c r="L99" s="2"/>
      <c r="M99" s="2"/>
      <c r="N99" s="2"/>
      <c r="O99" s="2"/>
      <c r="P99" s="2"/>
      <c r="Q99" s="13"/>
      <c r="S99" s="28"/>
    </row>
    <row r="100" spans="1:19" x14ac:dyDescent="0.35">
      <c r="B100" s="14"/>
      <c r="C100" s="15"/>
      <c r="D100" s="8" t="s">
        <v>177</v>
      </c>
      <c r="E100" s="1">
        <f t="shared" si="20"/>
        <v>0</v>
      </c>
      <c r="F100" s="2"/>
      <c r="G100" s="2"/>
      <c r="H100" s="2"/>
      <c r="I100" s="2"/>
      <c r="J100" s="2"/>
      <c r="K100" s="2"/>
      <c r="L100" s="2"/>
      <c r="M100" s="2"/>
      <c r="N100" s="2"/>
      <c r="O100" s="2"/>
      <c r="P100" s="2"/>
      <c r="Q100" s="13"/>
      <c r="S100" s="28"/>
    </row>
    <row r="101" spans="1:19" x14ac:dyDescent="0.35">
      <c r="B101" s="54" t="b" cm="1">
        <f t="array" ref="B101">SUMPRODUCT(--(F102:P103&lt;&gt;""))&lt;&gt;0</f>
        <v>0</v>
      </c>
      <c r="C101" s="15" t="s">
        <v>178</v>
      </c>
      <c r="D101" s="8"/>
      <c r="E101" s="8"/>
      <c r="F101" s="8"/>
      <c r="G101" s="8"/>
      <c r="H101" s="8"/>
      <c r="I101" s="8"/>
      <c r="J101" s="8"/>
      <c r="K101" s="8"/>
      <c r="L101" s="8"/>
      <c r="M101" s="8"/>
      <c r="N101" s="8"/>
      <c r="O101" s="8"/>
      <c r="P101" s="8"/>
      <c r="Q101" s="13"/>
      <c r="S101" s="28"/>
    </row>
    <row r="102" spans="1:19" x14ac:dyDescent="0.35">
      <c r="B102" s="14"/>
      <c r="C102" s="15"/>
      <c r="D102" s="8" t="s">
        <v>179</v>
      </c>
      <c r="E102" s="1">
        <f t="shared" ref="E102:E103" si="21">SUM(F102:P102)</f>
        <v>0</v>
      </c>
      <c r="F102" s="2"/>
      <c r="G102" s="2"/>
      <c r="H102" s="2"/>
      <c r="I102" s="2"/>
      <c r="J102" s="2"/>
      <c r="K102" s="2"/>
      <c r="L102" s="2"/>
      <c r="M102" s="2"/>
      <c r="N102" s="2"/>
      <c r="O102" s="2"/>
      <c r="P102" s="2"/>
      <c r="Q102" s="13"/>
      <c r="S102" s="28"/>
    </row>
    <row r="103" spans="1:19" ht="15" thickBot="1" x14ac:dyDescent="0.4">
      <c r="B103" s="14"/>
      <c r="C103" s="8"/>
      <c r="D103" s="8" t="s">
        <v>180</v>
      </c>
      <c r="E103" s="31">
        <f t="shared" si="21"/>
        <v>0</v>
      </c>
      <c r="F103" s="45"/>
      <c r="G103" s="45"/>
      <c r="H103" s="45"/>
      <c r="I103" s="45"/>
      <c r="J103" s="45"/>
      <c r="K103" s="45"/>
      <c r="L103" s="45"/>
      <c r="M103" s="45"/>
      <c r="N103" s="45"/>
      <c r="O103" s="45"/>
      <c r="P103" s="45"/>
      <c r="Q103" s="13"/>
      <c r="S103" s="28"/>
    </row>
    <row r="104" spans="1:19" ht="15" thickTop="1" x14ac:dyDescent="0.35">
      <c r="B104" s="14"/>
      <c r="C104" s="15" t="s">
        <v>181</v>
      </c>
      <c r="D104" s="15"/>
      <c r="E104" s="32">
        <f>SUM(E77:E80,E82:E84,E86:E88,E90:E96,E98:E100,E102:E103)</f>
        <v>0</v>
      </c>
      <c r="F104" s="32">
        <f t="shared" ref="F104:P104" si="22">SUM(F77:F80,F82:F84,F86:F88,F90:F96,F98:F100,F102:F103)</f>
        <v>0</v>
      </c>
      <c r="G104" s="32">
        <f t="shared" si="22"/>
        <v>0</v>
      </c>
      <c r="H104" s="32">
        <f t="shared" si="22"/>
        <v>0</v>
      </c>
      <c r="I104" s="32">
        <f t="shared" si="22"/>
        <v>0</v>
      </c>
      <c r="J104" s="32">
        <f t="shared" si="22"/>
        <v>0</v>
      </c>
      <c r="K104" s="32">
        <f t="shared" si="22"/>
        <v>0</v>
      </c>
      <c r="L104" s="32">
        <f t="shared" si="22"/>
        <v>0</v>
      </c>
      <c r="M104" s="32">
        <f t="shared" si="22"/>
        <v>0</v>
      </c>
      <c r="N104" s="32">
        <f t="shared" si="22"/>
        <v>0</v>
      </c>
      <c r="O104" s="32">
        <f t="shared" si="22"/>
        <v>0</v>
      </c>
      <c r="P104" s="32">
        <f t="shared" si="22"/>
        <v>0</v>
      </c>
      <c r="Q104" s="13"/>
      <c r="S104" s="28"/>
    </row>
    <row r="105" spans="1:19" x14ac:dyDescent="0.35">
      <c r="B105" s="14"/>
      <c r="C105" s="15"/>
      <c r="D105" s="35" t="str">
        <f>D23</f>
        <v>Discounted</v>
      </c>
      <c r="E105" s="82">
        <f>SUM(F105:P105)</f>
        <v>0</v>
      </c>
      <c r="F105" s="82">
        <f>F104/(1+'Viability comparison'!$D$6)^0</f>
        <v>0</v>
      </c>
      <c r="G105" s="82">
        <f>G104/(1+'Viability comparison'!$D$6)^1</f>
        <v>0</v>
      </c>
      <c r="H105" s="82">
        <f>H104/(1+'Viability comparison'!$D$6)^2</f>
        <v>0</v>
      </c>
      <c r="I105" s="82">
        <f>I104/(1+'Viability comparison'!$D$6)^3</f>
        <v>0</v>
      </c>
      <c r="J105" s="82">
        <f>J104/(1+'Viability comparison'!$D$6)^4</f>
        <v>0</v>
      </c>
      <c r="K105" s="82">
        <f>K104/(1+'Viability comparison'!$D$6)^5</f>
        <v>0</v>
      </c>
      <c r="L105" s="82">
        <f>L104/(1+'Viability comparison'!$D$6)^6</f>
        <v>0</v>
      </c>
      <c r="M105" s="82">
        <f>M104/(1+'Viability comparison'!$D$6)^7</f>
        <v>0</v>
      </c>
      <c r="N105" s="82">
        <f>N104/(1+'Viability comparison'!$D$6)^8</f>
        <v>0</v>
      </c>
      <c r="O105" s="82">
        <f>O104/(1+'Viability comparison'!$D$6)^9</f>
        <v>0</v>
      </c>
      <c r="P105" s="82">
        <f>P104/(1+'Viability comparison'!$D$6)^10</f>
        <v>0</v>
      </c>
      <c r="Q105" s="13"/>
      <c r="S105" s="43"/>
    </row>
    <row r="106" spans="1:19" ht="15" thickBot="1" x14ac:dyDescent="0.4">
      <c r="B106" s="16"/>
      <c r="C106" s="17"/>
      <c r="D106" s="17"/>
      <c r="E106" s="17"/>
      <c r="F106" s="17"/>
      <c r="G106" s="17"/>
      <c r="H106" s="17"/>
      <c r="I106" s="17"/>
      <c r="J106" s="17"/>
      <c r="K106" s="17"/>
      <c r="L106" s="17"/>
      <c r="M106" s="17"/>
      <c r="N106" s="17"/>
      <c r="O106" s="17"/>
      <c r="P106" s="17"/>
      <c r="Q106" s="18"/>
      <c r="S106" s="26"/>
    </row>
    <row r="107" spans="1:19" ht="15" thickBot="1" x14ac:dyDescent="0.4">
      <c r="A107" s="55" t="b">
        <f>(B109+B112+B116+B120)&lt;&gt;0</f>
        <v>0</v>
      </c>
    </row>
    <row r="108" spans="1:19" x14ac:dyDescent="0.35">
      <c r="B108" s="19" t="s">
        <v>182</v>
      </c>
      <c r="C108" s="36"/>
      <c r="D108" s="20"/>
      <c r="E108" s="20"/>
      <c r="F108" s="20"/>
      <c r="G108" s="20"/>
      <c r="H108" s="20"/>
      <c r="I108" s="20"/>
      <c r="J108" s="20"/>
      <c r="K108" s="20"/>
      <c r="L108" s="20"/>
      <c r="M108" s="20"/>
      <c r="N108" s="20"/>
      <c r="O108" s="20"/>
      <c r="P108" s="20"/>
      <c r="Q108" s="21"/>
      <c r="S108" s="30"/>
    </row>
    <row r="109" spans="1:19" x14ac:dyDescent="0.35">
      <c r="B109" s="54" t="b" cm="1">
        <f t="array" ref="B109">SUMPRODUCT(--(F110:P111&lt;&gt;""))&lt;&gt;0</f>
        <v>0</v>
      </c>
      <c r="C109" s="15" t="s">
        <v>183</v>
      </c>
      <c r="D109" s="8"/>
      <c r="E109" s="8"/>
      <c r="F109" s="8"/>
      <c r="G109" s="8"/>
      <c r="H109" s="8"/>
      <c r="I109" s="8"/>
      <c r="J109" s="8"/>
      <c r="K109" s="8"/>
      <c r="L109" s="8"/>
      <c r="M109" s="8"/>
      <c r="N109" s="8"/>
      <c r="O109" s="8"/>
      <c r="P109" s="8"/>
      <c r="Q109" s="13"/>
      <c r="S109" s="27"/>
    </row>
    <row r="110" spans="1:19" x14ac:dyDescent="0.35">
      <c r="B110" s="14"/>
      <c r="C110" s="8"/>
      <c r="D110" s="8" t="s">
        <v>184</v>
      </c>
      <c r="E110" s="1">
        <f t="shared" ref="E110:E111" si="23">SUM(F110:P110)</f>
        <v>0</v>
      </c>
      <c r="F110" s="2"/>
      <c r="G110" s="2"/>
      <c r="H110" s="2"/>
      <c r="I110" s="2"/>
      <c r="J110" s="2"/>
      <c r="K110" s="2"/>
      <c r="L110" s="2"/>
      <c r="M110" s="2"/>
      <c r="N110" s="2"/>
      <c r="O110" s="2"/>
      <c r="P110" s="2"/>
      <c r="Q110" s="13"/>
      <c r="S110" s="28"/>
    </row>
    <row r="111" spans="1:19" x14ac:dyDescent="0.35">
      <c r="B111" s="14"/>
      <c r="C111" s="8"/>
      <c r="D111" s="8" t="s">
        <v>185</v>
      </c>
      <c r="E111" s="1">
        <f t="shared" si="23"/>
        <v>0</v>
      </c>
      <c r="F111" s="2"/>
      <c r="G111" s="2"/>
      <c r="H111" s="2"/>
      <c r="I111" s="2"/>
      <c r="J111" s="2"/>
      <c r="K111" s="2"/>
      <c r="L111" s="2"/>
      <c r="M111" s="2"/>
      <c r="N111" s="2"/>
      <c r="O111" s="2"/>
      <c r="P111" s="2"/>
      <c r="Q111" s="13"/>
      <c r="S111" s="28"/>
    </row>
    <row r="112" spans="1:19" x14ac:dyDescent="0.35">
      <c r="B112" s="54" t="b" cm="1">
        <f t="array" ref="B112">SUMPRODUCT(--(F113:P115&lt;&gt;""))&lt;&gt;0</f>
        <v>0</v>
      </c>
      <c r="C112" s="15" t="s">
        <v>186</v>
      </c>
      <c r="D112" s="8"/>
      <c r="E112" s="8"/>
      <c r="F112" s="8"/>
      <c r="G112" s="8"/>
      <c r="H112" s="8"/>
      <c r="I112" s="8"/>
      <c r="J112" s="8"/>
      <c r="K112" s="8"/>
      <c r="L112" s="8"/>
      <c r="M112" s="8"/>
      <c r="N112" s="8"/>
      <c r="O112" s="8"/>
      <c r="P112" s="8"/>
      <c r="Q112" s="13"/>
      <c r="S112" s="28"/>
    </row>
    <row r="113" spans="2:19" x14ac:dyDescent="0.35">
      <c r="B113" s="14"/>
      <c r="C113" s="15"/>
      <c r="D113" s="8" t="s">
        <v>187</v>
      </c>
      <c r="E113" s="1">
        <f t="shared" ref="E113:E115" si="24">SUM(F113:P113)</f>
        <v>0</v>
      </c>
      <c r="F113" s="2"/>
      <c r="G113" s="2"/>
      <c r="H113" s="2"/>
      <c r="I113" s="2"/>
      <c r="J113" s="2"/>
      <c r="K113" s="2"/>
      <c r="L113" s="2"/>
      <c r="M113" s="2"/>
      <c r="N113" s="2"/>
      <c r="O113" s="2"/>
      <c r="P113" s="2"/>
      <c r="Q113" s="13"/>
      <c r="S113" s="28"/>
    </row>
    <row r="114" spans="2:19" x14ac:dyDescent="0.35">
      <c r="B114" s="14"/>
      <c r="C114" s="15"/>
      <c r="D114" s="8" t="s">
        <v>188</v>
      </c>
      <c r="E114" s="1">
        <f t="shared" si="24"/>
        <v>0</v>
      </c>
      <c r="F114" s="2"/>
      <c r="G114" s="2"/>
      <c r="H114" s="2"/>
      <c r="I114" s="2"/>
      <c r="J114" s="2"/>
      <c r="K114" s="2"/>
      <c r="L114" s="2"/>
      <c r="M114" s="2"/>
      <c r="N114" s="2"/>
      <c r="O114" s="2"/>
      <c r="P114" s="2"/>
      <c r="Q114" s="13"/>
      <c r="S114" s="28"/>
    </row>
    <row r="115" spans="2:19" x14ac:dyDescent="0.35">
      <c r="B115" s="14"/>
      <c r="C115" s="15"/>
      <c r="D115" s="8" t="s">
        <v>189</v>
      </c>
      <c r="E115" s="1">
        <f t="shared" si="24"/>
        <v>0</v>
      </c>
      <c r="F115" s="2"/>
      <c r="G115" s="2"/>
      <c r="H115" s="2"/>
      <c r="I115" s="2"/>
      <c r="J115" s="2"/>
      <c r="K115" s="2"/>
      <c r="L115" s="2"/>
      <c r="M115" s="2"/>
      <c r="N115" s="2"/>
      <c r="O115" s="2"/>
      <c r="P115" s="2"/>
      <c r="Q115" s="13"/>
      <c r="S115" s="28"/>
    </row>
    <row r="116" spans="2:19" x14ac:dyDescent="0.35">
      <c r="B116" s="54" t="b" cm="1">
        <f t="array" ref="B116">SUMPRODUCT(--(F117:P119&lt;&gt;""))&lt;&gt;0</f>
        <v>0</v>
      </c>
      <c r="C116" s="15" t="s">
        <v>190</v>
      </c>
      <c r="D116" s="8"/>
      <c r="E116" s="8"/>
      <c r="F116" s="8"/>
      <c r="G116" s="8"/>
      <c r="H116" s="8"/>
      <c r="I116" s="8"/>
      <c r="J116" s="8"/>
      <c r="K116" s="8"/>
      <c r="L116" s="8"/>
      <c r="M116" s="8"/>
      <c r="N116" s="8"/>
      <c r="O116" s="8"/>
      <c r="P116" s="8"/>
      <c r="Q116" s="13"/>
      <c r="S116" s="28"/>
    </row>
    <row r="117" spans="2:19" x14ac:dyDescent="0.35">
      <c r="B117" s="14"/>
      <c r="C117" s="15"/>
      <c r="D117" s="8" t="s">
        <v>187</v>
      </c>
      <c r="E117" s="1">
        <f t="shared" ref="E117:E119" si="25">SUM(F117:P117)</f>
        <v>0</v>
      </c>
      <c r="F117" s="2"/>
      <c r="G117" s="2"/>
      <c r="H117" s="2"/>
      <c r="I117" s="2"/>
      <c r="J117" s="2"/>
      <c r="K117" s="2"/>
      <c r="L117" s="2"/>
      <c r="M117" s="2"/>
      <c r="N117" s="2"/>
      <c r="O117" s="2"/>
      <c r="P117" s="2"/>
      <c r="Q117" s="13"/>
      <c r="S117" s="28"/>
    </row>
    <row r="118" spans="2:19" x14ac:dyDescent="0.35">
      <c r="B118" s="14"/>
      <c r="C118" s="15"/>
      <c r="D118" s="8" t="s">
        <v>188</v>
      </c>
      <c r="E118" s="1">
        <f t="shared" si="25"/>
        <v>0</v>
      </c>
      <c r="F118" s="2"/>
      <c r="G118" s="2"/>
      <c r="H118" s="2"/>
      <c r="I118" s="2"/>
      <c r="J118" s="2"/>
      <c r="K118" s="2"/>
      <c r="L118" s="2"/>
      <c r="M118" s="2"/>
      <c r="N118" s="2"/>
      <c r="O118" s="2"/>
      <c r="P118" s="2"/>
      <c r="Q118" s="13"/>
      <c r="S118" s="28"/>
    </row>
    <row r="119" spans="2:19" x14ac:dyDescent="0.35">
      <c r="B119" s="14"/>
      <c r="C119" s="15"/>
      <c r="D119" s="8" t="s">
        <v>189</v>
      </c>
      <c r="E119" s="1">
        <f t="shared" si="25"/>
        <v>0</v>
      </c>
      <c r="F119" s="2"/>
      <c r="G119" s="2"/>
      <c r="H119" s="2"/>
      <c r="I119" s="2"/>
      <c r="J119" s="2"/>
      <c r="K119" s="2"/>
      <c r="L119" s="2"/>
      <c r="M119" s="2"/>
      <c r="N119" s="2"/>
      <c r="O119" s="2"/>
      <c r="P119" s="2"/>
      <c r="Q119" s="13"/>
      <c r="S119" s="28"/>
    </row>
    <row r="120" spans="2:19" x14ac:dyDescent="0.35">
      <c r="B120" s="54" t="b" cm="1">
        <f t="array" ref="B120">SUMPRODUCT(--(F121:P123&lt;&gt;""))&lt;&gt;0</f>
        <v>0</v>
      </c>
      <c r="C120" s="15" t="s">
        <v>191</v>
      </c>
      <c r="D120" s="8"/>
      <c r="E120" s="8"/>
      <c r="F120" s="8"/>
      <c r="G120" s="8"/>
      <c r="H120" s="8"/>
      <c r="I120" s="8"/>
      <c r="J120" s="8"/>
      <c r="K120" s="8"/>
      <c r="L120" s="8"/>
      <c r="M120" s="8"/>
      <c r="N120" s="8"/>
      <c r="O120" s="8"/>
      <c r="P120" s="8"/>
      <c r="Q120" s="13"/>
      <c r="S120" s="28"/>
    </row>
    <row r="121" spans="2:19" x14ac:dyDescent="0.35">
      <c r="B121" s="14"/>
      <c r="C121" s="15"/>
      <c r="D121" s="8" t="s">
        <v>187</v>
      </c>
      <c r="E121" s="1">
        <f t="shared" ref="E121:E123" si="26">SUM(F121:P121)</f>
        <v>0</v>
      </c>
      <c r="F121" s="2"/>
      <c r="G121" s="2"/>
      <c r="H121" s="2"/>
      <c r="I121" s="2"/>
      <c r="J121" s="2"/>
      <c r="K121" s="2"/>
      <c r="L121" s="2"/>
      <c r="M121" s="2"/>
      <c r="N121" s="2"/>
      <c r="O121" s="2"/>
      <c r="P121" s="2"/>
      <c r="Q121" s="13"/>
      <c r="S121" s="28"/>
    </row>
    <row r="122" spans="2:19" x14ac:dyDescent="0.35">
      <c r="B122" s="14"/>
      <c r="C122" s="15"/>
      <c r="D122" s="8" t="s">
        <v>188</v>
      </c>
      <c r="E122" s="1">
        <f t="shared" si="26"/>
        <v>0</v>
      </c>
      <c r="F122" s="2"/>
      <c r="G122" s="2"/>
      <c r="H122" s="2"/>
      <c r="I122" s="2"/>
      <c r="J122" s="2"/>
      <c r="K122" s="2"/>
      <c r="L122" s="2"/>
      <c r="M122" s="2"/>
      <c r="N122" s="2"/>
      <c r="O122" s="2"/>
      <c r="P122" s="2"/>
      <c r="Q122" s="13"/>
      <c r="S122" s="28"/>
    </row>
    <row r="123" spans="2:19" ht="15" thickBot="1" x14ac:dyDescent="0.4">
      <c r="B123" s="14"/>
      <c r="C123" s="15"/>
      <c r="D123" s="8" t="s">
        <v>189</v>
      </c>
      <c r="E123" s="31">
        <f t="shared" si="26"/>
        <v>0</v>
      </c>
      <c r="F123" s="45"/>
      <c r="G123" s="45"/>
      <c r="H123" s="45"/>
      <c r="I123" s="45"/>
      <c r="J123" s="45"/>
      <c r="K123" s="45"/>
      <c r="L123" s="45"/>
      <c r="M123" s="45"/>
      <c r="N123" s="45"/>
      <c r="O123" s="45"/>
      <c r="P123" s="45"/>
      <c r="Q123" s="13"/>
      <c r="S123" s="28"/>
    </row>
    <row r="124" spans="2:19" ht="15" thickTop="1" x14ac:dyDescent="0.35">
      <c r="B124" s="14"/>
      <c r="C124" s="15" t="s">
        <v>192</v>
      </c>
      <c r="D124" s="8"/>
      <c r="E124" s="32">
        <f>SUM(E110:E111,E113:E115,E117:E119,E121:E123)</f>
        <v>0</v>
      </c>
      <c r="F124" s="32">
        <f t="shared" ref="F124:P124" si="27">SUM(F110:F111,F113:F115,F117:F119,F121:F123)</f>
        <v>0</v>
      </c>
      <c r="G124" s="32">
        <f t="shared" si="27"/>
        <v>0</v>
      </c>
      <c r="H124" s="32">
        <f t="shared" si="27"/>
        <v>0</v>
      </c>
      <c r="I124" s="32">
        <f t="shared" si="27"/>
        <v>0</v>
      </c>
      <c r="J124" s="32">
        <f t="shared" si="27"/>
        <v>0</v>
      </c>
      <c r="K124" s="32">
        <f t="shared" si="27"/>
        <v>0</v>
      </c>
      <c r="L124" s="32">
        <f t="shared" si="27"/>
        <v>0</v>
      </c>
      <c r="M124" s="32">
        <f t="shared" si="27"/>
        <v>0</v>
      </c>
      <c r="N124" s="32">
        <f t="shared" si="27"/>
        <v>0</v>
      </c>
      <c r="O124" s="32">
        <f t="shared" si="27"/>
        <v>0</v>
      </c>
      <c r="P124" s="32">
        <f t="shared" si="27"/>
        <v>0</v>
      </c>
      <c r="Q124" s="13"/>
      <c r="S124" s="28"/>
    </row>
    <row r="125" spans="2:19" x14ac:dyDescent="0.35">
      <c r="B125" s="14"/>
      <c r="C125" s="15"/>
      <c r="D125" s="8" t="str">
        <f>D23</f>
        <v>Discounted</v>
      </c>
      <c r="E125" s="82">
        <f>SUM(F125:P125)</f>
        <v>0</v>
      </c>
      <c r="F125" s="82">
        <f>F124/(1+'Viability comparison'!$D$6)^0</f>
        <v>0</v>
      </c>
      <c r="G125" s="82">
        <f>G124/(1+'Viability comparison'!$D$6)^1</f>
        <v>0</v>
      </c>
      <c r="H125" s="82">
        <f>H124/(1+'Viability comparison'!$D$6)^2</f>
        <v>0</v>
      </c>
      <c r="I125" s="82">
        <f>I124/(1+'Viability comparison'!$D$6)^3</f>
        <v>0</v>
      </c>
      <c r="J125" s="82">
        <f>J124/(1+'Viability comparison'!$D$6)^4</f>
        <v>0</v>
      </c>
      <c r="K125" s="82">
        <f>K124/(1+'Viability comparison'!$D$6)^5</f>
        <v>0</v>
      </c>
      <c r="L125" s="82">
        <f>L124/(1+'Viability comparison'!$D$6)^6</f>
        <v>0</v>
      </c>
      <c r="M125" s="82">
        <f>M124/(1+'Viability comparison'!$D$6)^7</f>
        <v>0</v>
      </c>
      <c r="N125" s="82">
        <f>N124/(1+'Viability comparison'!$D$6)^8</f>
        <v>0</v>
      </c>
      <c r="O125" s="82">
        <f>O124/(1+'Viability comparison'!$D$6)^9</f>
        <v>0</v>
      </c>
      <c r="P125" s="82">
        <f>P124/(1+'Viability comparison'!$D$6)^10</f>
        <v>0</v>
      </c>
      <c r="Q125" s="13"/>
      <c r="S125" s="43"/>
    </row>
    <row r="126" spans="2:19" ht="15" thickBot="1" x14ac:dyDescent="0.4">
      <c r="B126" s="16"/>
      <c r="C126" s="17"/>
      <c r="D126" s="17"/>
      <c r="E126" s="17"/>
      <c r="F126" s="17"/>
      <c r="G126" s="17"/>
      <c r="H126" s="17"/>
      <c r="I126" s="17"/>
      <c r="J126" s="17"/>
      <c r="K126" s="17"/>
      <c r="L126" s="17"/>
      <c r="M126" s="17"/>
      <c r="N126" s="17"/>
      <c r="O126" s="17"/>
      <c r="P126" s="17"/>
      <c r="Q126" s="18"/>
      <c r="S126" s="26"/>
    </row>
    <row r="127" spans="2:19" ht="15" thickBot="1" x14ac:dyDescent="0.4"/>
    <row r="128" spans="2:19" ht="15" thickBot="1" x14ac:dyDescent="0.4">
      <c r="B128" s="22" t="s">
        <v>193</v>
      </c>
      <c r="C128" s="33"/>
      <c r="D128" s="23"/>
      <c r="E128" s="33">
        <f>SUM(E124,E104)</f>
        <v>0</v>
      </c>
      <c r="F128" s="33">
        <f t="shared" ref="F128:P128" si="28">SUM(F124,F104)</f>
        <v>0</v>
      </c>
      <c r="G128" s="33">
        <f t="shared" si="28"/>
        <v>0</v>
      </c>
      <c r="H128" s="33">
        <f t="shared" si="28"/>
        <v>0</v>
      </c>
      <c r="I128" s="33">
        <f t="shared" si="28"/>
        <v>0</v>
      </c>
      <c r="J128" s="33">
        <f t="shared" si="28"/>
        <v>0</v>
      </c>
      <c r="K128" s="33">
        <f t="shared" si="28"/>
        <v>0</v>
      </c>
      <c r="L128" s="33">
        <f t="shared" si="28"/>
        <v>0</v>
      </c>
      <c r="M128" s="33">
        <f t="shared" si="28"/>
        <v>0</v>
      </c>
      <c r="N128" s="33">
        <f t="shared" si="28"/>
        <v>0</v>
      </c>
      <c r="O128" s="33">
        <f t="shared" si="28"/>
        <v>0</v>
      </c>
      <c r="P128" s="33">
        <f t="shared" si="28"/>
        <v>0</v>
      </c>
      <c r="Q128" s="24"/>
    </row>
    <row r="129" spans="2:17" ht="15" thickBot="1" x14ac:dyDescent="0.4">
      <c r="B129" s="22" t="s">
        <v>194</v>
      </c>
      <c r="C129" s="33"/>
      <c r="D129" s="23"/>
      <c r="E129" s="58">
        <f>SUM(F129:P129)</f>
        <v>0</v>
      </c>
      <c r="F129" s="58">
        <f>F128 / (1+'Viability comparison'!$D$6)^0</f>
        <v>0</v>
      </c>
      <c r="G129" s="58">
        <f>G128 / (1+'Viability comparison'!$D$6)^1</f>
        <v>0</v>
      </c>
      <c r="H129" s="58">
        <f>H128 / (1+'Viability comparison'!$D$6)^2</f>
        <v>0</v>
      </c>
      <c r="I129" s="58">
        <f>I128 / (1+'Viability comparison'!$D$6)^3</f>
        <v>0</v>
      </c>
      <c r="J129" s="58">
        <f>J128 / (1+'Viability comparison'!$D$6)^4</f>
        <v>0</v>
      </c>
      <c r="K129" s="58">
        <f>K128 / (1+'Viability comparison'!$D$6)^5</f>
        <v>0</v>
      </c>
      <c r="L129" s="58">
        <f>L128 / (1+'Viability comparison'!$D$6)^6</f>
        <v>0</v>
      </c>
      <c r="M129" s="58">
        <f>M128 / (1+'Viability comparison'!$D$6)^7</f>
        <v>0</v>
      </c>
      <c r="N129" s="58">
        <f>N128 / (1+'Viability comparison'!$D$6)^8</f>
        <v>0</v>
      </c>
      <c r="O129" s="58">
        <f>O128 / (1+'Viability comparison'!$D$6)^9</f>
        <v>0</v>
      </c>
      <c r="P129" s="58">
        <f>P128 / (1+'Viability comparison'!$D$6)^10</f>
        <v>0</v>
      </c>
      <c r="Q129" s="24"/>
    </row>
    <row r="130" spans="2:17" ht="15" thickBot="1" x14ac:dyDescent="0.4">
      <c r="B130" s="22" t="s">
        <v>195</v>
      </c>
      <c r="C130" s="33"/>
      <c r="D130" s="23"/>
      <c r="E130" s="58">
        <f>SUM(F130:P130)</f>
        <v>0</v>
      </c>
      <c r="F130" s="58">
        <f>F128 / (1+'Viability comparison'!$D$18)^0</f>
        <v>0</v>
      </c>
      <c r="G130" s="58">
        <f>G128 / (1+'Viability comparison'!$D$18)^1</f>
        <v>0</v>
      </c>
      <c r="H130" s="58">
        <f>H128 / (1+'Viability comparison'!$D$18)^2</f>
        <v>0</v>
      </c>
      <c r="I130" s="58">
        <f>I128 / (1+'Viability comparison'!$D$18)^3</f>
        <v>0</v>
      </c>
      <c r="J130" s="58">
        <f>J128 / (1+'Viability comparison'!$D$18)^4</f>
        <v>0</v>
      </c>
      <c r="K130" s="58">
        <f>K128 / (1+'Viability comparison'!$D$18)^5</f>
        <v>0</v>
      </c>
      <c r="L130" s="58">
        <f>L128 / (1+'Viability comparison'!$D$18)^6</f>
        <v>0</v>
      </c>
      <c r="M130" s="58">
        <f>M128 / (1+'Viability comparison'!$D$18)^7</f>
        <v>0</v>
      </c>
      <c r="N130" s="58">
        <f>N128 / (1+'Viability comparison'!$D$18)^8</f>
        <v>0</v>
      </c>
      <c r="O130" s="58">
        <f>O128 / (1+'Viability comparison'!$D$18)^9</f>
        <v>0</v>
      </c>
      <c r="P130" s="58">
        <f>P128 / (1+'Viability comparison'!$D$18)^10</f>
        <v>0</v>
      </c>
      <c r="Q130" s="24"/>
    </row>
    <row r="131" spans="2:17" ht="15" thickBot="1" x14ac:dyDescent="0.4"/>
    <row r="132" spans="2:17" ht="15" thickBot="1" x14ac:dyDescent="0.4">
      <c r="B132" s="22" t="s">
        <v>196</v>
      </c>
      <c r="C132" s="33"/>
      <c r="D132" s="23"/>
      <c r="E132" s="58"/>
      <c r="F132" s="58">
        <f t="shared" ref="F132:P132" si="29">F128-F67</f>
        <v>0</v>
      </c>
      <c r="G132" s="58">
        <f t="shared" si="29"/>
        <v>0</v>
      </c>
      <c r="H132" s="58">
        <f t="shared" si="29"/>
        <v>0</v>
      </c>
      <c r="I132" s="58">
        <f t="shared" si="29"/>
        <v>0</v>
      </c>
      <c r="J132" s="58">
        <f t="shared" si="29"/>
        <v>0</v>
      </c>
      <c r="K132" s="58">
        <f t="shared" si="29"/>
        <v>0</v>
      </c>
      <c r="L132" s="58">
        <f t="shared" si="29"/>
        <v>0</v>
      </c>
      <c r="M132" s="58">
        <f t="shared" si="29"/>
        <v>0</v>
      </c>
      <c r="N132" s="58">
        <f t="shared" si="29"/>
        <v>0</v>
      </c>
      <c r="O132" s="58">
        <f t="shared" si="29"/>
        <v>0</v>
      </c>
      <c r="P132" s="58">
        <f t="shared" si="29"/>
        <v>0</v>
      </c>
      <c r="Q132" s="24"/>
    </row>
    <row r="133" spans="2:17" ht="15" thickBot="1" x14ac:dyDescent="0.4">
      <c r="B133" s="22" t="s">
        <v>194</v>
      </c>
      <c r="C133" s="33"/>
      <c r="D133" s="23"/>
      <c r="E133" s="58"/>
      <c r="F133" s="58">
        <f>F132 / (1+'Viability comparison'!$D$6)^0</f>
        <v>0</v>
      </c>
      <c r="G133" s="58">
        <f>G132 / (1+'Viability comparison'!$D$6)^1</f>
        <v>0</v>
      </c>
      <c r="H133" s="58">
        <f>H132 / (1+'Viability comparison'!$D$6)^2</f>
        <v>0</v>
      </c>
      <c r="I133" s="58">
        <f>I132 / (1+'Viability comparison'!$D$6)^3</f>
        <v>0</v>
      </c>
      <c r="J133" s="58">
        <f>J132 / (1+'Viability comparison'!$D$6)^4</f>
        <v>0</v>
      </c>
      <c r="K133" s="58">
        <f>K132 / (1+'Viability comparison'!$D$6)^5</f>
        <v>0</v>
      </c>
      <c r="L133" s="58">
        <f>L132 / (1+'Viability comparison'!$D$6)^6</f>
        <v>0</v>
      </c>
      <c r="M133" s="58">
        <f>M132 / (1+'Viability comparison'!$D$6)^7</f>
        <v>0</v>
      </c>
      <c r="N133" s="58">
        <f>N132 / (1+'Viability comparison'!$D$6)^8</f>
        <v>0</v>
      </c>
      <c r="O133" s="58">
        <f>O132 / (1+'Viability comparison'!$D$6)^9</f>
        <v>0</v>
      </c>
      <c r="P133" s="58">
        <f>P132 / (1+'Viability comparison'!$D$6)^10</f>
        <v>0</v>
      </c>
      <c r="Q133" s="24"/>
    </row>
    <row r="134" spans="2:17" ht="15" thickBot="1" x14ac:dyDescent="0.4">
      <c r="B134" s="22" t="s">
        <v>195</v>
      </c>
      <c r="C134" s="33"/>
      <c r="D134" s="23"/>
      <c r="E134" s="58"/>
      <c r="F134" s="58">
        <f>F132 / (1+'Viability comparison'!$D$18)^0</f>
        <v>0</v>
      </c>
      <c r="G134" s="58">
        <f>G132 / (1+'Viability comparison'!$D$18)^1</f>
        <v>0</v>
      </c>
      <c r="H134" s="58">
        <f>H132 / (1+'Viability comparison'!$D$18)^2</f>
        <v>0</v>
      </c>
      <c r="I134" s="58">
        <f>I132 / (1+'Viability comparison'!$D$18)^3</f>
        <v>0</v>
      </c>
      <c r="J134" s="58">
        <f>J132 / (1+'Viability comparison'!$D$18)^4</f>
        <v>0</v>
      </c>
      <c r="K134" s="58">
        <f>K132 / (1+'Viability comparison'!$D$18)^5</f>
        <v>0</v>
      </c>
      <c r="L134" s="58">
        <f>L132 / (1+'Viability comparison'!$D$18)^6</f>
        <v>0</v>
      </c>
      <c r="M134" s="58">
        <f>M132 / (1+'Viability comparison'!$D$18)^7</f>
        <v>0</v>
      </c>
      <c r="N134" s="58">
        <f>N132 / (1+'Viability comparison'!$D$18)^8</f>
        <v>0</v>
      </c>
      <c r="O134" s="58">
        <f>O132 / (1+'Viability comparison'!$D$18)^9</f>
        <v>0</v>
      </c>
      <c r="P134" s="58">
        <f>P132 / (1+'Viability comparison'!$D$18)^10</f>
        <v>0</v>
      </c>
      <c r="Q134" s="24"/>
    </row>
    <row r="136" spans="2:17" ht="15" thickBot="1" x14ac:dyDescent="0.4"/>
    <row r="137" spans="2:17" ht="15" thickBot="1" x14ac:dyDescent="0.4">
      <c r="B137" s="37" t="s">
        <v>197</v>
      </c>
      <c r="C137" s="10"/>
      <c r="D137" s="10"/>
      <c r="E137" s="10"/>
      <c r="F137" s="10">
        <f t="shared" ref="F137:P137" si="30">F5</f>
        <v>2022</v>
      </c>
      <c r="G137" s="10">
        <f t="shared" si="30"/>
        <v>2023</v>
      </c>
      <c r="H137" s="10">
        <f t="shared" si="30"/>
        <v>2024</v>
      </c>
      <c r="I137" s="10">
        <f t="shared" si="30"/>
        <v>2025</v>
      </c>
      <c r="J137" s="10">
        <f t="shared" si="30"/>
        <v>2026</v>
      </c>
      <c r="K137" s="10">
        <f t="shared" si="30"/>
        <v>2027</v>
      </c>
      <c r="L137" s="10">
        <f t="shared" si="30"/>
        <v>2028</v>
      </c>
      <c r="M137" s="10">
        <f t="shared" si="30"/>
        <v>2029</v>
      </c>
      <c r="N137" s="10">
        <f t="shared" si="30"/>
        <v>2030</v>
      </c>
      <c r="O137" s="10">
        <f t="shared" si="30"/>
        <v>2031</v>
      </c>
      <c r="P137" s="10">
        <f t="shared" si="30"/>
        <v>2032</v>
      </c>
      <c r="Q137" s="11"/>
    </row>
    <row r="138" spans="2:17" x14ac:dyDescent="0.35">
      <c r="B138" s="19" t="s">
        <v>222</v>
      </c>
      <c r="C138" s="36"/>
      <c r="D138" s="39"/>
      <c r="E138" s="36"/>
      <c r="F138" s="111">
        <f>F139</f>
        <v>0</v>
      </c>
      <c r="G138" s="111">
        <f>F138+G139</f>
        <v>0</v>
      </c>
      <c r="H138" s="111">
        <f t="shared" ref="H138:P138" si="31">G138+H139</f>
        <v>0</v>
      </c>
      <c r="I138" s="111">
        <f t="shared" si="31"/>
        <v>0</v>
      </c>
      <c r="J138" s="111">
        <f t="shared" si="31"/>
        <v>0</v>
      </c>
      <c r="K138" s="111">
        <f t="shared" si="31"/>
        <v>0</v>
      </c>
      <c r="L138" s="111">
        <f t="shared" si="31"/>
        <v>0</v>
      </c>
      <c r="M138" s="111">
        <f t="shared" si="31"/>
        <v>0</v>
      </c>
      <c r="N138" s="111">
        <f t="shared" si="31"/>
        <v>0</v>
      </c>
      <c r="O138" s="111">
        <f t="shared" si="31"/>
        <v>0</v>
      </c>
      <c r="P138" s="111">
        <f t="shared" si="31"/>
        <v>0</v>
      </c>
      <c r="Q138" s="21"/>
    </row>
    <row r="139" spans="2:17" ht="15" thickBot="1" x14ac:dyDescent="0.4">
      <c r="B139" s="12" t="s">
        <v>223</v>
      </c>
      <c r="C139" s="15"/>
      <c r="D139" s="8"/>
      <c r="E139" s="15">
        <f>E128 - E72</f>
        <v>0</v>
      </c>
      <c r="F139" s="112">
        <f>F128 - F72</f>
        <v>0</v>
      </c>
      <c r="G139" s="112">
        <f t="shared" ref="G139:P139" si="32">G128 - G72</f>
        <v>0</v>
      </c>
      <c r="H139" s="112">
        <f t="shared" si="32"/>
        <v>0</v>
      </c>
      <c r="I139" s="112">
        <f t="shared" si="32"/>
        <v>0</v>
      </c>
      <c r="J139" s="112">
        <f t="shared" si="32"/>
        <v>0</v>
      </c>
      <c r="K139" s="112">
        <f t="shared" si="32"/>
        <v>0</v>
      </c>
      <c r="L139" s="112">
        <f t="shared" si="32"/>
        <v>0</v>
      </c>
      <c r="M139" s="112">
        <f t="shared" si="32"/>
        <v>0</v>
      </c>
      <c r="N139" s="112">
        <f t="shared" si="32"/>
        <v>0</v>
      </c>
      <c r="O139" s="112">
        <f t="shared" si="32"/>
        <v>0</v>
      </c>
      <c r="P139" s="112">
        <f t="shared" si="32"/>
        <v>0</v>
      </c>
      <c r="Q139" s="13"/>
    </row>
    <row r="140" spans="2:17" x14ac:dyDescent="0.35">
      <c r="B140" s="19" t="s">
        <v>224</v>
      </c>
      <c r="C140" s="36"/>
      <c r="D140" s="20"/>
      <c r="E140" s="36"/>
      <c r="F140" s="113">
        <f>F141</f>
        <v>0</v>
      </c>
      <c r="G140" s="113">
        <f>F140+G141</f>
        <v>0</v>
      </c>
      <c r="H140" s="113">
        <f t="shared" ref="H140:P140" si="33">G140+H141</f>
        <v>0</v>
      </c>
      <c r="I140" s="113">
        <f t="shared" si="33"/>
        <v>0</v>
      </c>
      <c r="J140" s="113">
        <f t="shared" si="33"/>
        <v>0</v>
      </c>
      <c r="K140" s="113">
        <f t="shared" si="33"/>
        <v>0</v>
      </c>
      <c r="L140" s="113">
        <f t="shared" si="33"/>
        <v>0</v>
      </c>
      <c r="M140" s="113">
        <f t="shared" si="33"/>
        <v>0</v>
      </c>
      <c r="N140" s="113">
        <f t="shared" si="33"/>
        <v>0</v>
      </c>
      <c r="O140" s="113">
        <f t="shared" si="33"/>
        <v>0</v>
      </c>
      <c r="P140" s="113">
        <f t="shared" si="33"/>
        <v>0</v>
      </c>
      <c r="Q140" s="21"/>
    </row>
    <row r="141" spans="2:17" ht="15" thickBot="1" x14ac:dyDescent="0.4">
      <c r="B141" s="40" t="s">
        <v>223</v>
      </c>
      <c r="C141" s="38"/>
      <c r="D141" s="17"/>
      <c r="E141" s="38">
        <f t="shared" ref="E141:P141" si="34">E128 - E73</f>
        <v>0</v>
      </c>
      <c r="F141" s="114">
        <f t="shared" si="34"/>
        <v>0</v>
      </c>
      <c r="G141" s="114">
        <f t="shared" si="34"/>
        <v>0</v>
      </c>
      <c r="H141" s="114">
        <f t="shared" si="34"/>
        <v>0</v>
      </c>
      <c r="I141" s="114">
        <f t="shared" si="34"/>
        <v>0</v>
      </c>
      <c r="J141" s="114">
        <f t="shared" si="34"/>
        <v>0</v>
      </c>
      <c r="K141" s="114">
        <f t="shared" si="34"/>
        <v>0</v>
      </c>
      <c r="L141" s="114">
        <f t="shared" si="34"/>
        <v>0</v>
      </c>
      <c r="M141" s="114">
        <f t="shared" si="34"/>
        <v>0</v>
      </c>
      <c r="N141" s="114">
        <f t="shared" si="34"/>
        <v>0</v>
      </c>
      <c r="O141" s="114">
        <f t="shared" si="34"/>
        <v>0</v>
      </c>
      <c r="P141" s="114">
        <f t="shared" si="34"/>
        <v>0</v>
      </c>
      <c r="Q141" s="18"/>
    </row>
    <row r="142" spans="2:17" ht="15" thickBot="1" x14ac:dyDescent="0.4"/>
    <row r="143" spans="2:17" ht="15" thickBot="1" x14ac:dyDescent="0.4">
      <c r="B143" s="37" t="s">
        <v>198</v>
      </c>
      <c r="C143" s="10"/>
      <c r="D143" s="10"/>
      <c r="E143" s="10"/>
      <c r="F143" s="10">
        <f t="shared" ref="F143:P143" si="35">F11</f>
        <v>0</v>
      </c>
      <c r="G143" s="10">
        <f t="shared" si="35"/>
        <v>0</v>
      </c>
      <c r="H143" s="10">
        <f t="shared" si="35"/>
        <v>0</v>
      </c>
      <c r="I143" s="10">
        <f t="shared" si="35"/>
        <v>0</v>
      </c>
      <c r="J143" s="10">
        <f t="shared" si="35"/>
        <v>0</v>
      </c>
      <c r="K143" s="10">
        <f t="shared" si="35"/>
        <v>0</v>
      </c>
      <c r="L143" s="10">
        <f t="shared" si="35"/>
        <v>0</v>
      </c>
      <c r="M143" s="10">
        <f t="shared" si="35"/>
        <v>0</v>
      </c>
      <c r="N143" s="10">
        <f t="shared" si="35"/>
        <v>0</v>
      </c>
      <c r="O143" s="10">
        <f t="shared" si="35"/>
        <v>0</v>
      </c>
      <c r="P143" s="11">
        <f t="shared" si="35"/>
        <v>0</v>
      </c>
      <c r="Q143" s="11"/>
    </row>
    <row r="144" spans="2:17" x14ac:dyDescent="0.35">
      <c r="B144" s="19" t="s">
        <v>222</v>
      </c>
      <c r="C144" s="36"/>
      <c r="D144" s="39"/>
      <c r="E144" s="115"/>
      <c r="F144" s="108">
        <f>F145</f>
        <v>0</v>
      </c>
      <c r="G144" s="108">
        <f>F144+G145</f>
        <v>0</v>
      </c>
      <c r="H144" s="108">
        <f t="shared" ref="H144:P144" si="36">G144+H145</f>
        <v>0</v>
      </c>
      <c r="I144" s="108">
        <f t="shared" si="36"/>
        <v>0</v>
      </c>
      <c r="J144" s="108">
        <f t="shared" si="36"/>
        <v>0</v>
      </c>
      <c r="K144" s="108">
        <f t="shared" si="36"/>
        <v>0</v>
      </c>
      <c r="L144" s="108">
        <f t="shared" si="36"/>
        <v>0</v>
      </c>
      <c r="M144" s="108">
        <f t="shared" si="36"/>
        <v>0</v>
      </c>
      <c r="N144" s="108">
        <f t="shared" si="36"/>
        <v>0</v>
      </c>
      <c r="O144" s="108">
        <f t="shared" si="36"/>
        <v>0</v>
      </c>
      <c r="P144" s="108">
        <f t="shared" si="36"/>
        <v>0</v>
      </c>
      <c r="Q144" s="21"/>
    </row>
    <row r="145" spans="2:17" ht="15" thickBot="1" x14ac:dyDescent="0.4">
      <c r="B145" s="40" t="s">
        <v>199</v>
      </c>
      <c r="C145" s="38"/>
      <c r="D145" s="17"/>
      <c r="E145" s="116">
        <f>SUM(F145:P145)</f>
        <v>0</v>
      </c>
      <c r="F145" s="109">
        <f>(F128 - F72) / (1+'Viability comparison'!$D$6)^0</f>
        <v>0</v>
      </c>
      <c r="G145" s="109">
        <f>(G128 - G72) / (1+'Viability comparison'!$D$6)^1</f>
        <v>0</v>
      </c>
      <c r="H145" s="109">
        <f>(H128 - H72) / (1+'Viability comparison'!$D$6)^2</f>
        <v>0</v>
      </c>
      <c r="I145" s="109">
        <f>(I128 - I72) / (1+'Viability comparison'!$D$6)^3</f>
        <v>0</v>
      </c>
      <c r="J145" s="109">
        <f>(J128 - J72) / (1+'Viability comparison'!$D$6)^4</f>
        <v>0</v>
      </c>
      <c r="K145" s="109">
        <f>(K128 - K72) / (1+'Viability comparison'!$D$6)^5</f>
        <v>0</v>
      </c>
      <c r="L145" s="109">
        <f>(L128 - L72) / (1+'Viability comparison'!$D$6)^6</f>
        <v>0</v>
      </c>
      <c r="M145" s="109">
        <f>(M128 - M72) / (1+'Viability comparison'!$D$6)^7</f>
        <v>0</v>
      </c>
      <c r="N145" s="109">
        <f>(N128 - N72) / (1+'Viability comparison'!$D$6)^8</f>
        <v>0</v>
      </c>
      <c r="O145" s="109">
        <f>(O128 - O72) / (1+'Viability comparison'!$D$6)^9</f>
        <v>0</v>
      </c>
      <c r="P145" s="109">
        <f>(P128 - P72) / (1+'Viability comparison'!$D$6)^10</f>
        <v>0</v>
      </c>
      <c r="Q145" s="13"/>
    </row>
    <row r="146" spans="2:17" x14ac:dyDescent="0.35">
      <c r="B146" s="12" t="s">
        <v>222</v>
      </c>
      <c r="C146" s="15"/>
      <c r="D146" s="8"/>
      <c r="E146" s="117"/>
      <c r="F146" s="110">
        <f>F147</f>
        <v>0</v>
      </c>
      <c r="G146" s="110">
        <f>F146+G147</f>
        <v>0</v>
      </c>
      <c r="H146" s="110">
        <f t="shared" ref="H146:P146" si="37">G146+H147</f>
        <v>0</v>
      </c>
      <c r="I146" s="110">
        <f t="shared" si="37"/>
        <v>0</v>
      </c>
      <c r="J146" s="110">
        <f t="shared" si="37"/>
        <v>0</v>
      </c>
      <c r="K146" s="110">
        <f t="shared" si="37"/>
        <v>0</v>
      </c>
      <c r="L146" s="110">
        <f t="shared" si="37"/>
        <v>0</v>
      </c>
      <c r="M146" s="110">
        <f t="shared" si="37"/>
        <v>0</v>
      </c>
      <c r="N146" s="110">
        <f t="shared" si="37"/>
        <v>0</v>
      </c>
      <c r="O146" s="110">
        <f t="shared" si="37"/>
        <v>0</v>
      </c>
      <c r="P146" s="110">
        <f t="shared" si="37"/>
        <v>0</v>
      </c>
      <c r="Q146" s="13"/>
    </row>
    <row r="147" spans="2:17" ht="15" thickBot="1" x14ac:dyDescent="0.4">
      <c r="B147" s="40" t="s">
        <v>200</v>
      </c>
      <c r="C147" s="17"/>
      <c r="D147" s="17"/>
      <c r="E147" s="116">
        <f>SUM(F147:P147)</f>
        <v>0</v>
      </c>
      <c r="F147" s="109">
        <f>(F128 - F72) / (1+'Viability comparison'!$D$18)^0</f>
        <v>0</v>
      </c>
      <c r="G147" s="109">
        <f>(G128 - G72) / (1+'Viability comparison'!$D$18)^1</f>
        <v>0</v>
      </c>
      <c r="H147" s="109">
        <f>(H128 - H72) / (1+'Viability comparison'!$D$18)^2</f>
        <v>0</v>
      </c>
      <c r="I147" s="109">
        <f>(I128 - I72) / (1+'Viability comparison'!$D$18)^3</f>
        <v>0</v>
      </c>
      <c r="J147" s="109">
        <f>(J128 - J72) / (1+'Viability comparison'!$D$18)^4</f>
        <v>0</v>
      </c>
      <c r="K147" s="109">
        <f>(K128 - K72) / (1+'Viability comparison'!$D$18)^5</f>
        <v>0</v>
      </c>
      <c r="L147" s="109">
        <f>(L128 - L72) / (1+'Viability comparison'!$D$18)^6</f>
        <v>0</v>
      </c>
      <c r="M147" s="109">
        <f>(M128 - M72) / (1+'Viability comparison'!$D$18)^7</f>
        <v>0</v>
      </c>
      <c r="N147" s="109">
        <f>(N128 - N72) / (1+'Viability comparison'!$D$18)^8</f>
        <v>0</v>
      </c>
      <c r="O147" s="109">
        <f>(O128 - O72) / (1+'Viability comparison'!$D$18)^9</f>
        <v>0</v>
      </c>
      <c r="P147" s="109">
        <f>(P128 - P72) / (1+'Viability comparison'!$D$18)^10</f>
        <v>0</v>
      </c>
      <c r="Q147" s="18"/>
    </row>
  </sheetData>
  <sheetProtection sheet="1" selectLockedCells="1"/>
  <mergeCells count="4">
    <mergeCell ref="B3:Q3"/>
    <mergeCell ref="B5:D5"/>
    <mergeCell ref="W5:Y5"/>
    <mergeCell ref="W19:Y19"/>
  </mergeCells>
  <conditionalFormatting sqref="F138:P138">
    <cfRule type="iconSet" priority="4">
      <iconSet iconSet="3Arrows">
        <cfvo type="percent" val="0"/>
        <cfvo type="num" val="0"/>
        <cfvo type="num" val="0" gte="0"/>
      </iconSet>
    </cfRule>
  </conditionalFormatting>
  <conditionalFormatting sqref="F140:P140">
    <cfRule type="iconSet" priority="3">
      <iconSet iconSet="3Arrows" showValue="0">
        <cfvo type="percent" val="0"/>
        <cfvo type="num" val="0"/>
        <cfvo type="num" val="0" gte="0"/>
      </iconSet>
    </cfRule>
  </conditionalFormatting>
  <conditionalFormatting sqref="F144:P144">
    <cfRule type="iconSet" priority="2">
      <iconSet iconSet="3Arrows">
        <cfvo type="percent" val="0"/>
        <cfvo type="num" val="0"/>
        <cfvo type="num" val="0" gte="0"/>
      </iconSet>
    </cfRule>
  </conditionalFormatting>
  <conditionalFormatting sqref="F146:P146">
    <cfRule type="iconSet" priority="1">
      <iconSet iconSet="3Arrows">
        <cfvo type="percent" val="0"/>
        <cfvo type="num" val="0"/>
        <cfvo type="num" val="0" gte="0"/>
      </iconSet>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Guide</vt:lpstr>
      <vt:lpstr>Summary</vt:lpstr>
      <vt:lpstr>Viability comparison</vt:lpstr>
      <vt:lpstr>Option 1</vt:lpstr>
      <vt:lpstr>Option 2</vt:lpstr>
      <vt:lpstr>Option 3</vt:lpstr>
    </vt:vector>
  </TitlesOfParts>
  <Company>Helsingin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Kautto Ilkka</dc:creator>
  <cp:lastModifiedBy>Kautto Ilkka</cp:lastModifiedBy>
  <dcterms:created xsi:type="dcterms:W3CDTF">2021-12-13T07:17:16Z</dcterms:created>
  <dcterms:modified xsi:type="dcterms:W3CDTF">2021-12-23T08:20:04Z</dcterms:modified>
</cp:coreProperties>
</file>